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120" tabRatio="802" activeTab="0"/>
  </bookViews>
  <sheets>
    <sheet name="Création" sheetId="1" r:id="rId1"/>
    <sheet name="Origine" sheetId="2" r:id="rId2"/>
    <sheet name="Compétences" sheetId="3" r:id="rId3"/>
    <sheet name="Données" sheetId="4" r:id="rId4"/>
  </sheets>
  <definedNames>
    <definedName name="adresse">'Création'!$E$14</definedName>
    <definedName name="apparence">'Création'!$E$15</definedName>
    <definedName name="armec">'Données'!$B$3:$I$38</definedName>
    <definedName name="armed">'Données'!$B$78:$K$89</definedName>
    <definedName name="armures">'Données'!$B$41:$I$51</definedName>
    <definedName name="art1">'Création'!$C$41</definedName>
    <definedName name="art2">'Création'!$F$41</definedName>
    <definedName name="bob">'Origine'!$G$120:$J$149</definedName>
    <definedName name="bob2">'Origine'!$P$119:$S$148</definedName>
    <definedName name="bob3">'Origine'!$P$150:$S$178</definedName>
    <definedName name="cc">'Origine'!$E$121</definedName>
    <definedName name="co">'Création'!$P$3:$Q$15</definedName>
    <definedName name="comp">'Compétences'!$J$2:$N$81</definedName>
    <definedName name="comp2">'Compétences'!$K$2:$N$81</definedName>
    <definedName name="corpulence">'Création'!$E$22</definedName>
    <definedName name="courage">'Création'!$E$16</definedName>
    <definedName name="endurance">'Création'!$E$17</definedName>
    <definedName name="force">'Création'!$E$18</definedName>
    <definedName name="hip">'Origine'!$B$31:$AF$58</definedName>
    <definedName name="lang">'Création'!$L$20</definedName>
    <definedName name="mdc">'Création'!$B$7</definedName>
    <definedName name="ori">'Origine'!$G$121</definedName>
    <definedName name="origine">'Origine'!$D$2:$AF$117</definedName>
    <definedName name="penta">'Origine'!$B$2:$AE$30</definedName>
    <definedName name="psychisme">'Création'!$E$19</definedName>
    <definedName name="tcorp">'Création'!$E$22</definedName>
    <definedName name="thet">'Origine'!$B$89:$AE$117</definedName>
    <definedName name="vitesse">'Création'!$E$20</definedName>
    <definedName name="zeug">'Origine'!$B$60:$AE$88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<sst xmlns="http://schemas.openxmlformats.org/spreadsheetml/2006/main" count="3554" uniqueCount="696">
  <si>
    <t>Adresse</t>
  </si>
  <si>
    <t>Apparence</t>
  </si>
  <si>
    <t>Courage</t>
  </si>
  <si>
    <t>Endurance</t>
  </si>
  <si>
    <t>Force</t>
  </si>
  <si>
    <t>Psychisme</t>
  </si>
  <si>
    <t>Vitesse</t>
  </si>
  <si>
    <t xml:space="preserve">Agôn </t>
  </si>
  <si>
    <t xml:space="preserve">Essence </t>
  </si>
  <si>
    <t xml:space="preserve">Initiative </t>
  </si>
  <si>
    <t xml:space="preserve">Souffle </t>
  </si>
  <si>
    <t xml:space="preserve">Fatigue </t>
  </si>
  <si>
    <t xml:space="preserve">Corpulence </t>
  </si>
  <si>
    <t>Score</t>
  </si>
  <si>
    <t>Tranche</t>
  </si>
  <si>
    <t>(entre 19 et 24ans)</t>
  </si>
  <si>
    <t>pts de carac</t>
  </si>
  <si>
    <t>pts de compétences</t>
  </si>
  <si>
    <t>45 (50 pour les thètes)</t>
  </si>
  <si>
    <t>Pentacosiomédimnes</t>
  </si>
  <si>
    <t xml:space="preserve">Hippeis </t>
  </si>
  <si>
    <t>Zeugites </t>
  </si>
  <si>
    <t>Thètes</t>
  </si>
  <si>
    <t>1   Celtes</t>
  </si>
  <si>
    <t>1, 2, 3, 4, 5</t>
  </si>
  <si>
    <t>Cisalpins</t>
  </si>
  <si>
    <t>6, 7, 8, 9, 10</t>
  </si>
  <si>
    <t>Gaule chevelue</t>
  </si>
  <si>
    <t>11, 12, 13, 14, 15</t>
  </si>
  <si>
    <t>Ibériques</t>
  </si>
  <si>
    <t xml:space="preserve">16, 17, 18, 19, 20 </t>
  </si>
  <si>
    <t>Transalpins</t>
  </si>
  <si>
    <t>2  Grecs d'Hellade</t>
  </si>
  <si>
    <t>1, 2, 3, 4</t>
  </si>
  <si>
    <t>Archipels</t>
  </si>
  <si>
    <t>5, 6, 7, 8</t>
  </si>
  <si>
    <t>Attique et Béotie</t>
  </si>
  <si>
    <t>9, 10, 11, 12</t>
  </si>
  <si>
    <t>Epire</t>
  </si>
  <si>
    <t>13, 14, 15, 16</t>
  </si>
  <si>
    <t>Etolie</t>
  </si>
  <si>
    <t>17, 18, 19, 20</t>
  </si>
  <si>
    <t>Péloponnèse</t>
  </si>
  <si>
    <t>3  Grecs hors de l'Hellade</t>
  </si>
  <si>
    <t>Cités orientales</t>
  </si>
  <si>
    <t>Colonies indépendantes</t>
  </si>
  <si>
    <t xml:space="preserve">11, 12, 13, 14, 15 </t>
  </si>
  <si>
    <t>Grande Grèce</t>
  </si>
  <si>
    <t>16, 17, 18, 19, 20</t>
  </si>
  <si>
    <t>Pergame</t>
  </si>
  <si>
    <t>4  Italiques</t>
  </si>
  <si>
    <t>Etrusques</t>
  </si>
  <si>
    <t>Latins</t>
  </si>
  <si>
    <t>Romains</t>
  </si>
  <si>
    <t>Osques</t>
  </si>
  <si>
    <t>Samnites</t>
  </si>
  <si>
    <t>5  Phéniciens</t>
  </si>
  <si>
    <t>1, 2, 3, 4, 5, 6, 7</t>
  </si>
  <si>
    <t>Carthage</t>
  </si>
  <si>
    <t xml:space="preserve"> 8, 9, 10, 11, 12, 13, 14 </t>
  </si>
  <si>
    <t>Cités phéniciennes</t>
  </si>
  <si>
    <t xml:space="preserve">15, 16, 17, 18, 19, 20 </t>
  </si>
  <si>
    <t>Numides</t>
  </si>
  <si>
    <t xml:space="preserve"> 6  Royaumes hellénistiques</t>
  </si>
  <si>
    <t>1, 2, 3</t>
  </si>
  <si>
    <t>Bithynie</t>
  </si>
  <si>
    <t>4, 5, 6, 7, 8</t>
  </si>
  <si>
    <t>Egypte</t>
  </si>
  <si>
    <t>Macédoine</t>
  </si>
  <si>
    <t>13, 14, 15</t>
  </si>
  <si>
    <t>Pont</t>
  </si>
  <si>
    <t>Royaume séleucide</t>
  </si>
  <si>
    <t>Corpulence</t>
  </si>
  <si>
    <t>Masse</t>
  </si>
  <si>
    <t>701-750</t>
  </si>
  <si>
    <t xml:space="preserve">16-30 </t>
  </si>
  <si>
    <t>751-800</t>
  </si>
  <si>
    <t xml:space="preserve">31-45 </t>
  </si>
  <si>
    <t>801-900</t>
  </si>
  <si>
    <t xml:space="preserve">46-55 </t>
  </si>
  <si>
    <t>901-1000</t>
  </si>
  <si>
    <t xml:space="preserve">56-65 </t>
  </si>
  <si>
    <t>1001-1100</t>
  </si>
  <si>
    <t>66-75</t>
  </si>
  <si>
    <t>1101-1200</t>
  </si>
  <si>
    <t>76-85</t>
  </si>
  <si>
    <t>1201-1300</t>
  </si>
  <si>
    <t>86-95</t>
  </si>
  <si>
    <t>1301-1400</t>
  </si>
  <si>
    <t>96-105</t>
  </si>
  <si>
    <t>1401-1500</t>
  </si>
  <si>
    <t>106-115</t>
  </si>
  <si>
    <t>1501-1600</t>
  </si>
  <si>
    <t>116-130</t>
  </si>
  <si>
    <t>1601-1700</t>
  </si>
  <si>
    <t>131-145</t>
  </si>
  <si>
    <t>1701-1800</t>
  </si>
  <si>
    <t>146-160</t>
  </si>
  <si>
    <t>1801-2000</t>
  </si>
  <si>
    <t>161-180</t>
  </si>
  <si>
    <t>2001-2200</t>
  </si>
  <si>
    <t>181-200</t>
  </si>
  <si>
    <t>2201-2400</t>
  </si>
  <si>
    <t>201-220</t>
  </si>
  <si>
    <t>2401-2600</t>
  </si>
  <si>
    <t>221-240</t>
  </si>
  <si>
    <t>2601-2800</t>
  </si>
  <si>
    <t>241-270</t>
  </si>
  <si>
    <t>2801-3200</t>
  </si>
  <si>
    <t>271-300</t>
  </si>
  <si>
    <t>3201-3600</t>
  </si>
  <si>
    <t>301-330</t>
  </si>
  <si>
    <t>3601-4000</t>
  </si>
  <si>
    <t>331-360</t>
  </si>
  <si>
    <t>4001-4400</t>
  </si>
  <si>
    <t>361-400</t>
  </si>
  <si>
    <t>4401-4800</t>
  </si>
  <si>
    <t>401-450</t>
  </si>
  <si>
    <t>451-500</t>
  </si>
  <si>
    <t>501-550</t>
  </si>
  <si>
    <t>551-600</t>
  </si>
  <si>
    <t>601-650</t>
  </si>
  <si>
    <t>651-700</t>
  </si>
  <si>
    <t>Type</t>
  </si>
  <si>
    <t>Arme</t>
  </si>
  <si>
    <t>Allonge</t>
  </si>
  <si>
    <t>Dégâts</t>
  </si>
  <si>
    <t>Armure</t>
  </si>
  <si>
    <t>Enc.</t>
  </si>
  <si>
    <t>Bouclier</t>
  </si>
  <si>
    <t>1D6+1</t>
  </si>
  <si>
    <t>1D6+2</t>
  </si>
  <si>
    <t>1D6+3</t>
  </si>
  <si>
    <t>Epée courte</t>
  </si>
  <si>
    <t>Couteau</t>
  </si>
  <si>
    <t>Dague</t>
  </si>
  <si>
    <t>Glaive</t>
  </si>
  <si>
    <t>2D6+2</t>
  </si>
  <si>
    <t>Falcata</t>
  </si>
  <si>
    <t>2D6+3</t>
  </si>
  <si>
    <t>Epée 1M</t>
  </si>
  <si>
    <t>Epée</t>
  </si>
  <si>
    <t>3D6</t>
  </si>
  <si>
    <t>Epée bâtarde</t>
  </si>
  <si>
    <t>3D6+2</t>
  </si>
  <si>
    <t>Epée lourde</t>
  </si>
  <si>
    <t>4D6</t>
  </si>
  <si>
    <t>Epée 2M</t>
  </si>
  <si>
    <t>Hache 1M</t>
  </si>
  <si>
    <t>Hachette</t>
  </si>
  <si>
    <t>2D6</t>
  </si>
  <si>
    <t>Hache</t>
  </si>
  <si>
    <t>2D6+4</t>
  </si>
  <si>
    <t>Hache d'arçon</t>
  </si>
  <si>
    <t>3D6+3</t>
  </si>
  <si>
    <t>Labyr</t>
  </si>
  <si>
    <t>5D6</t>
  </si>
  <si>
    <t>Hache 2M</t>
  </si>
  <si>
    <t>Lance 1M*</t>
  </si>
  <si>
    <t>Javelot</t>
  </si>
  <si>
    <t>Pilum</t>
  </si>
  <si>
    <t>Lance</t>
  </si>
  <si>
    <t>Lance 2M*</t>
  </si>
  <si>
    <t>Sarisse</t>
  </si>
  <si>
    <t>Masse 1M</t>
  </si>
  <si>
    <t>Matraque</t>
  </si>
  <si>
    <t>0.5</t>
  </si>
  <si>
    <t>Bâton</t>
  </si>
  <si>
    <t>Masse légère</t>
  </si>
  <si>
    <t>Masse lourde</t>
  </si>
  <si>
    <t>Maillet</t>
  </si>
  <si>
    <t>Masse 2M</t>
  </si>
  <si>
    <t>Bâton de guerre</t>
  </si>
  <si>
    <t>Corps à corps</t>
  </si>
  <si>
    <t>Cestus</t>
  </si>
  <si>
    <t>Protection</t>
  </si>
  <si>
    <t>Constitution</t>
  </si>
  <si>
    <t>Vêtements épais</t>
  </si>
  <si>
    <t>1/10°</t>
  </si>
  <si>
    <t>Souple</t>
  </si>
  <si>
    <t>Vêtements renforcés</t>
  </si>
  <si>
    <t>Cuir souple</t>
  </si>
  <si>
    <t>Cuir bouilli</t>
  </si>
  <si>
    <t>1/10°+0.1</t>
  </si>
  <si>
    <t>Rigide</t>
  </si>
  <si>
    <t>1/10°+0.2</t>
  </si>
  <si>
    <t>1/10°+0.3</t>
  </si>
  <si>
    <t>1/10°+0.4</t>
  </si>
  <si>
    <t>1/10°+0.5</t>
  </si>
  <si>
    <t>1/10°+0.6</t>
  </si>
  <si>
    <t>1/10°+0.7</t>
  </si>
  <si>
    <t>Cuir renforcé</t>
  </si>
  <si>
    <t>Anneaux</t>
  </si>
  <si>
    <t>Ecailles</t>
  </si>
  <si>
    <t>Brigantine</t>
  </si>
  <si>
    <t>Maille</t>
  </si>
  <si>
    <t>Plaque</t>
  </si>
  <si>
    <t>Localisation</t>
  </si>
  <si>
    <t>Partie</t>
  </si>
  <si>
    <t>1 Crâne</t>
  </si>
  <si>
    <t>Tête</t>
  </si>
  <si>
    <t>Vitalité : 10</t>
  </si>
  <si>
    <t>2 Visage</t>
  </si>
  <si>
    <t>3 Cou</t>
  </si>
  <si>
    <t>Torse</t>
  </si>
  <si>
    <t>Vitalité : 22</t>
  </si>
  <si>
    <t>4, 5, 6, 7 Thorax</t>
  </si>
  <si>
    <t>8 Biceps droit</t>
  </si>
  <si>
    <t>Bras droit</t>
  </si>
  <si>
    <t>9 Avant-bras droit</t>
  </si>
  <si>
    <t>10 Biceps gauche</t>
  </si>
  <si>
    <t>Bras gauche</t>
  </si>
  <si>
    <t>11 Avant-bras gauche</t>
  </si>
  <si>
    <t>12, 13, 14 Ventre</t>
  </si>
  <si>
    <t>Abdomen</t>
  </si>
  <si>
    <t>Vitalité : 14</t>
  </si>
  <si>
    <t>15, 16 Hanches</t>
  </si>
  <si>
    <t>17 Cuisse droite</t>
  </si>
  <si>
    <t>Jambe droite</t>
  </si>
  <si>
    <t>18 Jarret droit</t>
  </si>
  <si>
    <t>19 Cuisse gauche</t>
  </si>
  <si>
    <t>Jambe gauche</t>
  </si>
  <si>
    <t>20 Jarret gauche</t>
  </si>
  <si>
    <t>Liste de Compétences</t>
  </si>
  <si>
    <r>
      <t>Acrobatie :</t>
    </r>
    <r>
      <rPr>
        <sz val="12"/>
        <rFont val="Arial"/>
        <family val="2"/>
      </rPr>
      <t xml:space="preserve"> (adresse / force)</t>
    </r>
  </si>
  <si>
    <t>Evasion</t>
  </si>
  <si>
    <r>
      <t>Agriculture :</t>
    </r>
    <r>
      <rPr>
        <sz val="12"/>
        <rFont val="Arial"/>
        <family val="2"/>
      </rPr>
      <t xml:space="preserve"> (psychisme x2)</t>
    </r>
  </si>
  <si>
    <t>Botanique</t>
  </si>
  <si>
    <r>
      <t>Arc :</t>
    </r>
    <r>
      <rPr>
        <sz val="12"/>
        <rFont val="Arial"/>
        <family val="2"/>
      </rPr>
      <t xml:space="preserve"> (adresse / force)</t>
    </r>
  </si>
  <si>
    <t>Tir précis</t>
  </si>
  <si>
    <t>Tir rapide</t>
  </si>
  <si>
    <r>
      <t>Architecture :</t>
    </r>
    <r>
      <rPr>
        <sz val="12"/>
        <rFont val="Arial"/>
        <family val="2"/>
      </rPr>
      <t xml:space="preserve"> (psychisme x2)</t>
    </r>
  </si>
  <si>
    <t>Hydrologie</t>
  </si>
  <si>
    <t>Arme lourde :</t>
  </si>
  <si>
    <t>(adresse / force)</t>
  </si>
  <si>
    <t xml:space="preserve">Artisanat : </t>
  </si>
  <si>
    <t>(adresse / psychisme)</t>
  </si>
  <si>
    <t>Astronomie :</t>
  </si>
  <si>
    <t>(psychisme x2)</t>
  </si>
  <si>
    <t xml:space="preserve">Attaque : </t>
  </si>
  <si>
    <t>Contre attaque</t>
  </si>
  <si>
    <t>Coup précis</t>
  </si>
  <si>
    <t xml:space="preserve">Coup puissant </t>
  </si>
  <si>
    <t xml:space="preserve">Camouflage : </t>
  </si>
  <si>
    <r>
      <t>Chant :</t>
    </r>
    <r>
      <rPr>
        <sz val="12"/>
        <rFont val="Arial"/>
        <family val="2"/>
      </rPr>
      <t xml:space="preserve"> (psychisme x2)</t>
    </r>
  </si>
  <si>
    <t>Genres</t>
  </si>
  <si>
    <t>Chercher :</t>
  </si>
  <si>
    <t>Bibliothèque</t>
  </si>
  <si>
    <r>
      <t>Comédie :</t>
    </r>
    <r>
      <rPr>
        <sz val="12"/>
        <rFont val="Arial"/>
        <family val="2"/>
      </rPr>
      <t xml:space="preserve"> </t>
    </r>
  </si>
  <si>
    <t>(apparence / psychisme)</t>
  </si>
  <si>
    <t>Comique</t>
  </si>
  <si>
    <t>Déguisement</t>
  </si>
  <si>
    <t>Dramatique</t>
  </si>
  <si>
    <t>Mime</t>
  </si>
  <si>
    <t>Conduire :</t>
  </si>
  <si>
    <t>Trige</t>
  </si>
  <si>
    <t>Quadrige</t>
  </si>
  <si>
    <t>Contraction du corps :</t>
  </si>
  <si>
    <t>(endurance / psychisme)</t>
  </si>
  <si>
    <t>Convaincre :</t>
  </si>
  <si>
    <t>Baratiner</t>
  </si>
  <si>
    <t>Commandement</t>
  </si>
  <si>
    <t>Eloquence</t>
  </si>
  <si>
    <t>Interrogatoire</t>
  </si>
  <si>
    <t>Marchandage</t>
  </si>
  <si>
    <t>Séduire</t>
  </si>
  <si>
    <t>Corps à corps :</t>
  </si>
  <si>
    <t>Pancrace</t>
  </si>
  <si>
    <t>Crochetage :</t>
  </si>
  <si>
    <t xml:space="preserve">Danse : </t>
  </si>
  <si>
    <t>Genre...</t>
  </si>
  <si>
    <t>Décryptage :</t>
  </si>
  <si>
    <r>
      <t>Déplacement silencieux :</t>
    </r>
    <r>
      <rPr>
        <sz val="12"/>
        <rFont val="Arial"/>
        <family val="2"/>
      </rPr>
      <t xml:space="preserve"> (adresse / psychisme)</t>
    </r>
  </si>
  <si>
    <t xml:space="preserve">Dérober : </t>
  </si>
  <si>
    <t>(adresse / vitesse)</t>
  </si>
  <si>
    <t>Pickpocket</t>
  </si>
  <si>
    <t>Discrétion :</t>
  </si>
  <si>
    <t xml:space="preserve">Dressage : </t>
  </si>
  <si>
    <r>
      <t>Droit :</t>
    </r>
    <r>
      <rPr>
        <sz val="12"/>
        <rFont val="Arial"/>
        <family val="2"/>
      </rPr>
      <t xml:space="preserve"> (psychisme x2)</t>
    </r>
  </si>
  <si>
    <t>Comptabilité</t>
  </si>
  <si>
    <t>Corruption</t>
  </si>
  <si>
    <t>Falsification</t>
  </si>
  <si>
    <t xml:space="preserve">Entendre : </t>
  </si>
  <si>
    <t xml:space="preserve">Equitation : </t>
  </si>
  <si>
    <t>Charger</t>
  </si>
  <si>
    <t>Esquive :</t>
  </si>
  <si>
    <t xml:space="preserve">Etiquette : </t>
  </si>
  <si>
    <t xml:space="preserve">Fronde : </t>
  </si>
  <si>
    <t>Grimper :</t>
  </si>
  <si>
    <t>Grimper en silence</t>
  </si>
  <si>
    <t xml:space="preserve">Histoire : </t>
  </si>
  <si>
    <t>Occultisme</t>
  </si>
  <si>
    <t>Lancer :</t>
  </si>
  <si>
    <t>Langage des signes :</t>
  </si>
  <si>
    <t>Langues :</t>
  </si>
  <si>
    <t>Langue littéraire</t>
  </si>
  <si>
    <r>
      <t>Lutte :</t>
    </r>
    <r>
      <rPr>
        <sz val="12"/>
        <rFont val="Arial"/>
        <family val="2"/>
      </rPr>
      <t xml:space="preserve"> (adresse / force)</t>
    </r>
  </si>
  <si>
    <t>Mécanique :</t>
  </si>
  <si>
    <t>Armurerie</t>
  </si>
  <si>
    <t xml:space="preserve">Musique : </t>
  </si>
  <si>
    <t>Natation :</t>
  </si>
  <si>
    <t>(endurance / force)</t>
  </si>
  <si>
    <t>Apnée</t>
  </si>
  <si>
    <t xml:space="preserve">Naviguer : </t>
  </si>
  <si>
    <t>Manœuvre de combat</t>
  </si>
  <si>
    <r>
      <t>Orientation :</t>
    </r>
    <r>
      <rPr>
        <sz val="12"/>
        <rFont val="Arial"/>
        <family val="2"/>
      </rPr>
      <t xml:space="preserve"> (psychisme x2)</t>
    </r>
  </si>
  <si>
    <t xml:space="preserve">Parade : </t>
  </si>
  <si>
    <t>Peinture :</t>
  </si>
  <si>
    <r>
      <t>Pister :</t>
    </r>
    <r>
      <rPr>
        <sz val="12"/>
        <rFont val="Arial"/>
        <family val="2"/>
      </rPr>
      <t xml:space="preserve"> (psychisme X 2)</t>
    </r>
  </si>
  <si>
    <t>Psychologie :</t>
  </si>
  <si>
    <t>Réception :</t>
  </si>
  <si>
    <t>Sauter :</t>
  </si>
  <si>
    <t>(force x2)</t>
  </si>
  <si>
    <t>Sculpture :</t>
  </si>
  <si>
    <t xml:space="preserve">Sentir : </t>
  </si>
  <si>
    <t xml:space="preserve">Soins :  </t>
  </si>
  <si>
    <t>Médecine 1</t>
  </si>
  <si>
    <t>Chirurgie 1</t>
  </si>
  <si>
    <t>Anthropologie 2</t>
  </si>
  <si>
    <t>Poison 2</t>
  </si>
  <si>
    <t>Stratégie :</t>
  </si>
  <si>
    <t>Survie :</t>
  </si>
  <si>
    <t>Survie en désert</t>
  </si>
  <si>
    <t>Survie en forêt</t>
  </si>
  <si>
    <t>Survie en mer</t>
  </si>
  <si>
    <t>Survie en montagne</t>
  </si>
  <si>
    <t>Tactique :</t>
  </si>
  <si>
    <t xml:space="preserve">Théologie : </t>
  </si>
  <si>
    <t>Dieux...</t>
  </si>
  <si>
    <t xml:space="preserve">Toucher : </t>
  </si>
  <si>
    <t>Voir :</t>
  </si>
  <si>
    <t>Lire sur les lèvres</t>
  </si>
  <si>
    <t>Voir dans la pénombre</t>
  </si>
  <si>
    <t>Zoologie :</t>
  </si>
  <si>
    <t>Compétences automatiques libres :</t>
  </si>
  <si>
    <t>Dégainer</t>
  </si>
  <si>
    <t>Phalangiste</t>
  </si>
  <si>
    <t>Ramer</t>
  </si>
  <si>
    <t>Vitalité :</t>
  </si>
  <si>
    <t xml:space="preserve">Acrobatie </t>
  </si>
  <si>
    <t>Agriculture</t>
  </si>
  <si>
    <t>Arc</t>
  </si>
  <si>
    <r>
      <t>Architecture</t>
    </r>
    <r>
      <rPr>
        <sz val="12"/>
        <rFont val="Arial"/>
        <family val="2"/>
      </rPr>
      <t xml:space="preserve"> </t>
    </r>
  </si>
  <si>
    <t>Arme lourde</t>
  </si>
  <si>
    <t>Chant</t>
  </si>
  <si>
    <t xml:space="preserve"> (psychisme x2)</t>
  </si>
  <si>
    <t xml:space="preserve"> (adresse / force)</t>
  </si>
  <si>
    <t>Orientation</t>
  </si>
  <si>
    <t>Pister</t>
  </si>
  <si>
    <t>(psychisme X 2)</t>
  </si>
  <si>
    <t>Artisanat</t>
  </si>
  <si>
    <t>Astronomie</t>
  </si>
  <si>
    <t>Attaque</t>
  </si>
  <si>
    <t xml:space="preserve">Camouflage </t>
  </si>
  <si>
    <t>Chercher</t>
  </si>
  <si>
    <t>Comédie</t>
  </si>
  <si>
    <t>Conduire</t>
  </si>
  <si>
    <t>Contraction du corps</t>
  </si>
  <si>
    <t>Convaincre</t>
  </si>
  <si>
    <t>Crochetage</t>
  </si>
  <si>
    <t>Danse</t>
  </si>
  <si>
    <t>Décryptage</t>
  </si>
  <si>
    <t>Déplacement silencieux</t>
  </si>
  <si>
    <t>Dérober</t>
  </si>
  <si>
    <t>Discrétion</t>
  </si>
  <si>
    <t>Dressage</t>
  </si>
  <si>
    <t>Droit</t>
  </si>
  <si>
    <t>Entendre</t>
  </si>
  <si>
    <t xml:space="preserve">Equitation </t>
  </si>
  <si>
    <t xml:space="preserve">Esquive </t>
  </si>
  <si>
    <t xml:space="preserve">Etiquette </t>
  </si>
  <si>
    <t>Fronde</t>
  </si>
  <si>
    <t>Grimper</t>
  </si>
  <si>
    <t>Histoire</t>
  </si>
  <si>
    <t>Lancer</t>
  </si>
  <si>
    <t>Langage des signes</t>
  </si>
  <si>
    <t>Langues</t>
  </si>
  <si>
    <t>Lutte</t>
  </si>
  <si>
    <t>Mécanique</t>
  </si>
  <si>
    <t>Musique</t>
  </si>
  <si>
    <t>Natation</t>
  </si>
  <si>
    <t xml:space="preserve">Naviguer </t>
  </si>
  <si>
    <t>Parade</t>
  </si>
  <si>
    <t>Peinture</t>
  </si>
  <si>
    <t>Psychologie</t>
  </si>
  <si>
    <t>Réception</t>
  </si>
  <si>
    <t>Sauter</t>
  </si>
  <si>
    <t>Sculpture</t>
  </si>
  <si>
    <t xml:space="preserve">Sentir </t>
  </si>
  <si>
    <t>Soins</t>
  </si>
  <si>
    <t>Stratégie</t>
  </si>
  <si>
    <t>Survie</t>
  </si>
  <si>
    <t>Tactique</t>
  </si>
  <si>
    <t>Théologie</t>
  </si>
  <si>
    <t xml:space="preserve">Toucher </t>
  </si>
  <si>
    <t>Voir</t>
  </si>
  <si>
    <t>Zoologie</t>
  </si>
  <si>
    <t>Femme bénie des dieux</t>
  </si>
  <si>
    <t>Cadence</t>
  </si>
  <si>
    <t>Portée</t>
  </si>
  <si>
    <t>Réserve</t>
  </si>
  <si>
    <t>Arc simple</t>
  </si>
  <si>
    <t>40/100</t>
  </si>
  <si>
    <t>Grand arc</t>
  </si>
  <si>
    <t>40/150</t>
  </si>
  <si>
    <t>Arc composite</t>
  </si>
  <si>
    <t>50/200</t>
  </si>
  <si>
    <t>---</t>
  </si>
  <si>
    <t>1/1 tour</t>
  </si>
  <si>
    <t>30/40</t>
  </si>
  <si>
    <t>20/30</t>
  </si>
  <si>
    <t>+1D6</t>
  </si>
  <si>
    <t>* Par localisation et pour chaque point de la Tranche de la Corpulence. Donc, un personnage avec une Corpulence de 6 devra payer, pour chaque localisation qu’il veut protéger, le double du prix indiqué (x 2). La Tranche de 6 étant de 2.</t>
  </si>
  <si>
    <t>Prix*   (obole)</t>
  </si>
  <si>
    <t>Encombrement**</t>
  </si>
  <si>
    <t xml:space="preserve">**1/10° ou 1/10° + un chiffre. 1/10° signifie que l'encombrement est égal au dixième de la Tranche de la Corpulence du personnage pour laquelle elle est conçue (donc à la Tranche de la corpulence divisée par 10) s'il y a + suivi d'un chiffre, c'est simplement qu'il faut l'ajouter au résultat du calcul. </t>
  </si>
  <si>
    <t>Enc (calculé)</t>
  </si>
  <si>
    <t>Prix (calculé)</t>
  </si>
  <si>
    <t>p r o d i g e s s p é c i f i q u e s</t>
  </si>
  <si>
    <t xml:space="preserve">Nom    </t>
  </si>
  <si>
    <t>Coûts et Effets</t>
  </si>
  <si>
    <t xml:space="preserve">Adresse équestre </t>
  </si>
  <si>
    <t>Par point d’Essence dépensé la compétence Equitation augmente d’un point pour une heure.</t>
  </si>
  <si>
    <t>Augmente pendant 15 minutes les dégâts au corps à corps d’1 par point d’Essence dépensé, avec pour maximum la Tranche de la Force.</t>
  </si>
  <si>
    <t>Pour un point d’Essence permet un tir supplémentaire avec la compétence Lancer.</t>
  </si>
  <si>
    <t>Par point d’Essence dépensé les compétences Zoologie ou Dressage augmente d’1 point pour une heure.</t>
  </si>
  <si>
    <t>Permet de connaître le temps des prochaines 24 heures, pour un point d’Essence.</t>
  </si>
  <si>
    <t>Pour deux points d’Essence permet de connaître la valeur et l’état de santé d’un animal.</t>
  </si>
  <si>
    <t>Par point d’Essence dépensé n’importe quelle compétence en Artisanat augmente d’un point pour une heure.</t>
  </si>
  <si>
    <t>Par point d’Essence dépensé la compétence Agriculture augmente d’un point pour une heure.</t>
  </si>
  <si>
    <t xml:space="preserve">Don d’Hermès </t>
  </si>
  <si>
    <t>Par point d’Essence dépensé la compétence Orientation augmente d’un point pour une heure.</t>
  </si>
  <si>
    <t xml:space="preserve">Droit de Mercure </t>
  </si>
  <si>
    <t>Par point d’Essence dépensé la compétence Droit augmente d’un point pour une heure.</t>
  </si>
  <si>
    <t xml:space="preserve">Evaluation de Kothar </t>
  </si>
  <si>
    <t>Pour deux points d’Essence permet de connaître la valeur approximative d’un produit manufacturé.</t>
  </si>
  <si>
    <t xml:space="preserve">Fertilité du Nil </t>
  </si>
  <si>
    <t>Pour 2 points d’Essence permet de connaître si une terre est cultivable et de déceler les aliments comestibles.</t>
  </si>
  <si>
    <t xml:space="preserve">Fureur </t>
  </si>
  <si>
    <t>Pour 2 points d’Essence augmente les dégâts d’1D6 et donne une attaque supplémentaire pendant 1tour de jeu.</t>
  </si>
  <si>
    <t xml:space="preserve">Langue de Baal </t>
  </si>
  <si>
    <t>Par point d’Essence dépensé la compétence Convaincre augmente d’un point pour une heure.</t>
  </si>
  <si>
    <t>Peau d’airain</t>
  </si>
  <si>
    <t>Augmente pendant 15 minutes l’Armure d’1 par point d’Essence dépensé, maximum la Tranche de l’Endurance.</t>
  </si>
  <si>
    <t xml:space="preserve">Pied montagnard </t>
  </si>
  <si>
    <t xml:space="preserve">Prémonition </t>
  </si>
  <si>
    <t>Pour deux points d’Essence permet de relancer un jet de D20.</t>
  </si>
  <si>
    <t>Par point d’Essence dépensé la compétence Grimper augmente d’un point pour une heure.</t>
  </si>
  <si>
    <t xml:space="preserve">Pugnacité de Mars </t>
  </si>
  <si>
    <t>Pour deux points d’Essence permet de relancer un jet d’Agôn (tous les dés).</t>
  </si>
  <si>
    <t xml:space="preserve">Régénération d’Osiris </t>
  </si>
  <si>
    <t>Par point d’Essence dépensé un personnage regagne un point de Vitalité.</t>
  </si>
  <si>
    <t xml:space="preserve">Rhétorique olympienne </t>
  </si>
  <si>
    <t>Par point d’Essence dépensé les adversaires ont 5 points de malus pour savoir si l’on ment.</t>
  </si>
  <si>
    <t xml:space="preserve">Savoir d’Ahura-Mazda </t>
  </si>
  <si>
    <t>Par point d’Essence dépensé les compétences Théologie ou Astronomie augmente d’1 point pour une heure.</t>
  </si>
  <si>
    <t xml:space="preserve">Sens animal </t>
  </si>
  <si>
    <t>Par point d’Essence dépensé les compétences en perception (Entendre, Sentir, Toucher et Voir) augmente d’1point pour une heure.</t>
  </si>
  <si>
    <t xml:space="preserve">Bras de Môt </t>
  </si>
  <si>
    <t xml:space="preserve">Bras Véloce </t>
  </si>
  <si>
    <t xml:space="preserve">Communion de Cernunnos  </t>
  </si>
  <si>
    <t xml:space="preserve">Déceler l’orage  </t>
  </si>
  <si>
    <t xml:space="preserve">Diagnostique animalier  </t>
  </si>
  <si>
    <t xml:space="preserve">Doigts d’or  </t>
  </si>
  <si>
    <t>Don d’Apis</t>
  </si>
  <si>
    <t xml:space="preserve">Sens aqueux </t>
  </si>
  <si>
    <t>Permet de trouver la direction d’une source d’eau,1 point d’Essence dépensé correspond à 100 m de rayon d’aire d’effet.</t>
  </si>
  <si>
    <t xml:space="preserve">Sixième sens </t>
  </si>
  <si>
    <t>En dépensant 2 points d’Essence un personnage peut savoir s’il est menacé.</t>
  </si>
  <si>
    <t xml:space="preserve">Sol des Lares </t>
  </si>
  <si>
    <t>Permet d’être averti lorsqu’une créature hostile pénètre dans une zone consacrée. 1 point d’Essence par m² et cela dure 24 heures. Jet sous Psychisme pour se réveiller.</t>
  </si>
  <si>
    <t xml:space="preserve">Souffle divin </t>
  </si>
  <si>
    <t>Pour deux points d’Essence permet de ne pas perdre de Souffle ou de Fatigue pendant 5 tours.</t>
  </si>
  <si>
    <t xml:space="preserve">Sentir la magie </t>
  </si>
  <si>
    <t>Pour 1 point d’Essence permet de savoir si une personne est sous l’effet d’un prodige. Permet aussi de détecterdes créatures « magiques », aire d’effet égale au Psychisme x 10 x le nombre de points d’Essence.</t>
  </si>
  <si>
    <t xml:space="preserve">Trait d’Ahura-Mazda </t>
  </si>
  <si>
    <t>Par point d’Essence dépensé la compétence Arc augmente d’un point pour une heure.</t>
  </si>
  <si>
    <t>Homme béni des dieux</t>
  </si>
  <si>
    <t>Homme d’expérience</t>
  </si>
  <si>
    <t>Femme  d'expérience</t>
  </si>
  <si>
    <t>Nom:</t>
  </si>
  <si>
    <t>Origine:</t>
  </si>
  <si>
    <t>Classe censitaire:</t>
  </si>
  <si>
    <t>Mode de création:</t>
  </si>
  <si>
    <t>Taille:</t>
  </si>
  <si>
    <t>Poids:</t>
  </si>
  <si>
    <t>Age:</t>
  </si>
  <si>
    <t>Sexe:</t>
  </si>
  <si>
    <t>1-15</t>
  </si>
  <si>
    <t>kg</t>
  </si>
  <si>
    <t>cm</t>
  </si>
  <si>
    <t>Celtes Cisalpins</t>
  </si>
  <si>
    <t>Celtes Transalpins</t>
  </si>
  <si>
    <t>Grec (Archipels)</t>
  </si>
  <si>
    <t>Celtes</t>
  </si>
  <si>
    <t>Grecs d'Hellade</t>
  </si>
  <si>
    <t>Grecs hors de l'Hellade</t>
  </si>
  <si>
    <t>Italiques</t>
  </si>
  <si>
    <t>Phéniciens</t>
  </si>
  <si>
    <t>Royaumes hellénistiques</t>
  </si>
  <si>
    <t>Celte Transalpin</t>
  </si>
  <si>
    <t>Celte Cisalpin</t>
  </si>
  <si>
    <t>Pts de caractèristique à répartir:</t>
  </si>
  <si>
    <t xml:space="preserve">Vitalité : </t>
  </si>
  <si>
    <t>Rien</t>
  </si>
  <si>
    <t>Type d'armure</t>
  </si>
  <si>
    <t>9 Avant-bras gauche</t>
  </si>
  <si>
    <t>Anthropologie</t>
  </si>
  <si>
    <t>Amurerie</t>
  </si>
  <si>
    <t>Bibiothèque</t>
  </si>
  <si>
    <t>Poison</t>
  </si>
  <si>
    <t>Chirurgie</t>
  </si>
  <si>
    <t>Coup puissant</t>
  </si>
  <si>
    <t>Médecine</t>
  </si>
  <si>
    <t>Points restant:</t>
  </si>
  <si>
    <t xml:space="preserve">Au choix à + 2 : </t>
  </si>
  <si>
    <t xml:space="preserve">Au choix à + 4 : </t>
  </si>
  <si>
    <t xml:space="preserve">Natation </t>
  </si>
  <si>
    <t>Architecture</t>
  </si>
  <si>
    <t>Au choix à + 3 :</t>
  </si>
  <si>
    <t>Naviguer</t>
  </si>
  <si>
    <r>
      <t>Compétences  automatiques :</t>
    </r>
    <r>
      <rPr>
        <sz val="12"/>
        <rFont val="Arial"/>
        <family val="2"/>
      </rPr>
      <t xml:space="preserve"> </t>
    </r>
  </si>
  <si>
    <t>Koinè</t>
  </si>
  <si>
    <r>
      <t>Armes :</t>
    </r>
    <r>
      <rPr>
        <sz val="12"/>
        <rFont val="Arial"/>
        <family val="2"/>
      </rPr>
      <t xml:space="preserve"> </t>
    </r>
  </si>
  <si>
    <t>un glaive, une lance et un bouclier simple.</t>
  </si>
  <si>
    <r>
      <t>Fortune :</t>
    </r>
    <r>
      <rPr>
        <sz val="12"/>
        <rFont val="Arial"/>
        <family val="2"/>
      </rPr>
      <t xml:space="preserve"> (oboles)</t>
    </r>
  </si>
  <si>
    <r>
      <t>Armures :</t>
    </r>
    <r>
      <rPr>
        <sz val="12"/>
        <rFont val="Arial"/>
        <family val="2"/>
      </rPr>
      <t xml:space="preserve"> </t>
    </r>
  </si>
  <si>
    <t>Casque de plaque (Crâne et Visage 10 points), Cuirasse de plaque (Thorax et Ventre à 10 points), Jupe de cuir souple (Hanches et Cuisses à 3 points).</t>
  </si>
  <si>
    <r>
      <t>Equipement supplémentaire :</t>
    </r>
    <r>
      <rPr>
        <sz val="12"/>
        <rFont val="Arial"/>
        <family val="2"/>
      </rPr>
      <t xml:space="preserve"> </t>
    </r>
  </si>
  <si>
    <t>un cheval, 1D6 feuilles de papyrus et du matériel d’écriture.</t>
  </si>
  <si>
    <t>Hippeis</t>
  </si>
  <si>
    <r>
      <t xml:space="preserve">Langues maîtrisées : </t>
    </r>
    <r>
      <rPr>
        <sz val="12"/>
        <rFont val="Arial"/>
        <family val="2"/>
      </rPr>
      <t xml:space="preserve"> + 4.</t>
    </r>
  </si>
  <si>
    <t xml:space="preserve">Lance à une main en attaque </t>
  </si>
  <si>
    <t>Epée courte en attaque</t>
  </si>
  <si>
    <t xml:space="preserve">Au choix à + 2 :  </t>
  </si>
  <si>
    <t>Lance à deux main (Attaque et Parade)</t>
  </si>
  <si>
    <t>Epée courte (Attaque)</t>
  </si>
  <si>
    <t xml:space="preserve">Bouclier (parade) </t>
  </si>
  <si>
    <t>Equitation</t>
  </si>
  <si>
    <t>Etiquette</t>
  </si>
  <si>
    <t>un bouclier moyen, un glaive et une sarisse.</t>
  </si>
  <si>
    <t>Casque de plaque (Crâne et Visage à 10 points), Cuirasse de plaque (Thorax et Ventre à 10 points), Jambières de plaque (Jarrets à 10 Points), Manchons de plaque (Avant-bras, 10 points), Jupe de cuir souple (Hanches et Cuisses à 3 points), Manches de cuir souple (Biceps à 3 points).</t>
  </si>
  <si>
    <t>Zeugites</t>
  </si>
  <si>
    <t>Esquive</t>
  </si>
  <si>
    <t>Charpente</t>
  </si>
  <si>
    <r>
      <t xml:space="preserve">Langues maîtrisées : </t>
    </r>
    <r>
      <rPr>
        <sz val="12"/>
        <rFont val="Arial"/>
        <family val="2"/>
      </rPr>
      <t xml:space="preserve"> + 3</t>
    </r>
  </si>
  <si>
    <t>Casque de plaque (Crâne et Visage à 10 points), Cuirasse de plaque (Thorax et Ventre à 10 points), Jupe de cuir souple (Hanches et Cuisses à 3 points).</t>
  </si>
  <si>
    <t>Bouclier (parade)</t>
  </si>
  <si>
    <t>Phalange</t>
  </si>
  <si>
    <t>deux javelots, un glaive et un bouclier simple</t>
  </si>
  <si>
    <t>Vêtement épais (Cou, Thorax, Ventre, Hanches et Cuisses à 1 point).</t>
  </si>
  <si>
    <t xml:space="preserve">Corps à corps </t>
  </si>
  <si>
    <t>Langues maîtrisées :  + 3</t>
  </si>
  <si>
    <t xml:space="preserve">Araméen </t>
  </si>
  <si>
    <t>Langues maîtrisées :  + 2</t>
  </si>
  <si>
    <t xml:space="preserve">Cananéen </t>
  </si>
  <si>
    <t>Langues maîtrisées :  + 1</t>
  </si>
  <si>
    <t>Latin</t>
  </si>
  <si>
    <t>Langue (au choix)</t>
  </si>
  <si>
    <t>Langues maîtrisées : +1</t>
  </si>
  <si>
    <t>Cananéen</t>
  </si>
  <si>
    <t>FOR</t>
  </si>
  <si>
    <t>BC</t>
  </si>
  <si>
    <t>BD</t>
  </si>
  <si>
    <t>+1D6+1</t>
  </si>
  <si>
    <t>+1D6+2</t>
  </si>
  <si>
    <t>+2D6</t>
  </si>
  <si>
    <t>+2D6+1</t>
  </si>
  <si>
    <t>+1</t>
  </si>
  <si>
    <t>+2</t>
  </si>
  <si>
    <t>+2D6+2</t>
  </si>
  <si>
    <t>+3D6</t>
  </si>
  <si>
    <t>+3D6+1</t>
  </si>
  <si>
    <t>+0</t>
  </si>
  <si>
    <t xml:space="preserve">Bonus au contact: </t>
  </si>
  <si>
    <t xml:space="preserve">Bonus à Distance: </t>
  </si>
  <si>
    <t>Araméen</t>
  </si>
  <si>
    <t>Hache à une main</t>
  </si>
  <si>
    <t>Celte</t>
  </si>
  <si>
    <t>un épée, une lance et un bouclier simple.</t>
  </si>
  <si>
    <t>Casque de plaque (Crâne et Visage à 10 points), Cotte
de maille (Cou, Thorax, Ventre et Biceps à 9 points), Vêtement épais
(Cou, Thorax, Biceps, Avant-bras, Ventre, Hanches, Cuisses et
Jarrets à 1 point).</t>
  </si>
  <si>
    <t>Epée à une main (attaque)</t>
  </si>
  <si>
    <t>un épée, une lance et un bouclier lourd.</t>
  </si>
  <si>
    <t>Casque de plaque (Crâne et Visage à
10 points), Cotte de maille (Cou, Thorax, Ventre,
Biceps, Hanches et Cuisses à 9 points).</t>
  </si>
  <si>
    <t>Torque d’une valeur de
1D6 x 10 oboles. Attention, ce bijou (sous la forme
d’un collier) revêt une valeur sociale : il représente
une forme de reconnaissance. Il est impensable qu’un
personnage le vende.</t>
  </si>
  <si>
    <t>un cheval. Torque d’une valeur de 2D6 x 10 oboles.
Attention, ce bijou (sous la forme d’un collier) revêt une valeur sociale :
il représente une forme de reconnaissance. Il est impensable qu’un
personnage le vende.</t>
  </si>
  <si>
    <t>Artisanat (2)</t>
  </si>
  <si>
    <t>Camouflage</t>
  </si>
  <si>
    <t>une épée, une lance et bouclier lourd.</t>
  </si>
  <si>
    <t>Casque de plaque (Crâne à 10 points), Vêtement épais
(Cou, Thorax, Biceps, Avant-bras, Ventre, Hanches, Cuisses et
Jarrets à 1 point).</t>
  </si>
  <si>
    <t>1D6 pièges pour petits animaux.</t>
  </si>
  <si>
    <t>une lance, un bouclier lourd.</t>
  </si>
  <si>
    <t>Vêtement épais (Cou, Thorax, Biceps, Avantbras,
Ventre, Hanches, Cuisses et Jarrets à un point).</t>
  </si>
  <si>
    <t>Epée Courte</t>
  </si>
  <si>
    <t>Etrusque</t>
  </si>
  <si>
    <t xml:space="preserve">Langues maîtrisées : +1 </t>
  </si>
  <si>
    <t>Casque de plaque (Crâne et Visage à 10 points), Cotte de maille (Thorax, Ventre, Hanche et Cuisses à 9 points).</t>
  </si>
  <si>
    <t>Deux pilum, un glaive et un bouclier lourd.</t>
  </si>
  <si>
    <t>Casque de plaque (Crâne et Visage à 10 points), Cotte de maille (Thorax, Ventre, Hanches et Cuisses à 9 points).</t>
  </si>
  <si>
    <t>Maçonnerie</t>
  </si>
  <si>
    <t>Poterie</t>
  </si>
  <si>
    <t>Osque</t>
  </si>
  <si>
    <t>un bouclier moyen, un glaive et une Lance.</t>
  </si>
  <si>
    <t>une lance, un glaive et un bouclier moyen.</t>
  </si>
  <si>
    <t>Casque de plaque (Crâne et Visage à 10 points), Cardiophylax formé de trois disques et d’une ceinture de bronze (Thorax et Ventre à 10 points), Jambières de plaque (Jarrets à 10 points).</t>
  </si>
  <si>
    <t>Langue</t>
  </si>
  <si>
    <t>+6 en équitation</t>
  </si>
  <si>
    <t>Berbère</t>
  </si>
  <si>
    <t>un javelot, un glaive, une lance et un bouclier simple.</t>
  </si>
  <si>
    <t>Casque de plaque (Crâne et Visage à 10 points), Cuirasse de cuir renforcé (Cou, Thorax et Ventre à 5 points), Vêtement épais (Cou, Thorax, Biceps, Ventre, Hanches et Cuisses à 1 Point).</t>
  </si>
  <si>
    <t>un cheval</t>
  </si>
  <si>
    <t>trois javelots, un glaive et un bouclier simple.</t>
  </si>
  <si>
    <t>Casque de plaque (Crâne à 10 points), Cuirasse de cuir bouilli (Cou, Thorax, Ventre à 4 points), Vêtement épais (Cou, Thorax, Biceps, Ventre, Hanches et Cuisses à 1 Point).</t>
  </si>
  <si>
    <t>Vêtements renforcés (Cou, Thorax, Biceps, Ventre, Hanches et Cuisses à 2 points).</t>
  </si>
  <si>
    <t>Démotique</t>
  </si>
  <si>
    <t>un cheval, 2D6 feuilles de papyrus et du matériel d’écriture.</t>
  </si>
  <si>
    <t>deux javelots, un glaive et un bouclier Moyen</t>
  </si>
  <si>
    <t>Casque de plaque (Crâne et visage à 10 points) Vêtements renforcés (Cou, Thorax, Ventre, Biceps, Hanches et Cuisses à 2 points)</t>
  </si>
  <si>
    <t>un arc composite, un glaive et 20 flèches.</t>
  </si>
  <si>
    <t>Casque de plaque (Crâne à 10 points), Tunique d’anneaux (Cou, Thorax, Biceps, Ventre et Hanches à 6 points).</t>
  </si>
  <si>
    <t>Femme</t>
  </si>
  <si>
    <t>Acrobatie</t>
  </si>
  <si>
    <t>une Dague</t>
  </si>
  <si>
    <t>aucune</t>
  </si>
  <si>
    <t>une couverture pour la nuit, une outre, un sac de toile, un couteau, un briquet d’amadou, instruments et vêtements nécessaires à son activité professionnelle.</t>
  </si>
  <si>
    <t>Compétence à +5</t>
  </si>
  <si>
    <t>Compétence à +4</t>
  </si>
  <si>
    <t>Compétence à +2</t>
  </si>
  <si>
    <t>prodige 1</t>
  </si>
  <si>
    <t>prodige 2</t>
  </si>
  <si>
    <t>prodige 3</t>
  </si>
  <si>
    <t>Nom</t>
  </si>
  <si>
    <t>Carac</t>
  </si>
  <si>
    <t>Bonus Carac</t>
  </si>
  <si>
    <t>Bonus origine</t>
  </si>
  <si>
    <t>cout</t>
  </si>
  <si>
    <t>Feinte</t>
  </si>
  <si>
    <t>Autre</t>
  </si>
  <si>
    <t>Compétences</t>
  </si>
  <si>
    <t>Points de dévellopement à répartir:</t>
  </si>
  <si>
    <t>Caratéristiques</t>
  </si>
  <si>
    <t>Base</t>
  </si>
  <si>
    <t>Bonus</t>
  </si>
  <si>
    <t>Cananéen ou Latin ou Celte</t>
  </si>
  <si>
    <t xml:space="preserve"> Pts de Dév.</t>
  </si>
  <si>
    <t>Total</t>
  </si>
  <si>
    <r>
      <t xml:space="preserve">Langues maîtrisées : </t>
    </r>
    <r>
      <rPr>
        <sz val="12"/>
        <rFont val="Arial"/>
        <family val="2"/>
      </rPr>
      <t xml:space="preserve"> + 5</t>
    </r>
  </si>
  <si>
    <t>Languages</t>
  </si>
  <si>
    <t>-</t>
  </si>
  <si>
    <t>Coût en pts de dév</t>
  </si>
  <si>
    <t>Compétences Automatiques</t>
  </si>
  <si>
    <t>Au Choix</t>
  </si>
  <si>
    <t>Aucune</t>
  </si>
  <si>
    <t>PRODIGES</t>
  </si>
  <si>
    <t>Artisanats</t>
  </si>
  <si>
    <t>Ebénisterie</t>
  </si>
  <si>
    <t>Métallurgie</t>
  </si>
  <si>
    <t>Menuiserie</t>
  </si>
  <si>
    <t>Charpentier de marine</t>
  </si>
  <si>
    <t>Bonus d'origine et de classe censitaire</t>
  </si>
  <si>
    <t>Joaillerie</t>
  </si>
  <si>
    <t>aucun</t>
  </si>
  <si>
    <t>Langage supplémentaire (avec vos points de dévellopement minimum 1)</t>
  </si>
  <si>
    <t>combat</t>
  </si>
  <si>
    <t>Masse à une main (attaque)</t>
  </si>
  <si>
    <t>Epée à deux main (Attaque et Parade)</t>
  </si>
  <si>
    <t>Hache à deux main (Attaque et Parade)</t>
  </si>
  <si>
    <t>Masse à deux main (Attaque et Parade)</t>
  </si>
  <si>
    <t>carac</t>
  </si>
  <si>
    <r>
      <t>Architecture</t>
    </r>
    <r>
      <rPr>
        <sz val="10"/>
        <rFont val="Arial"/>
        <family val="2"/>
      </rPr>
      <t xml:space="preserve"> </t>
    </r>
  </si>
  <si>
    <t>Autres compétences au choix:</t>
  </si>
  <si>
    <t>ARMURE</t>
  </si>
  <si>
    <t>Armure de départ</t>
  </si>
  <si>
    <t>Enc. Total de l'armure:</t>
  </si>
  <si>
    <t>Prix neuf de l'armure:</t>
  </si>
  <si>
    <t>Enc Total:</t>
  </si>
  <si>
    <t>Argent:</t>
  </si>
  <si>
    <t>ARMES</t>
  </si>
  <si>
    <t>Armes de départ</t>
  </si>
  <si>
    <t>Arme à distance</t>
  </si>
  <si>
    <t>Arme de contact</t>
  </si>
  <si>
    <t>Propulseur*</t>
  </si>
  <si>
    <t>PA</t>
  </si>
  <si>
    <t>Portée(m)</t>
  </si>
  <si>
    <t>Bouclier Léger</t>
  </si>
  <si>
    <t>Bouclier Simple</t>
  </si>
  <si>
    <t>Bouclier Moyen</t>
  </si>
  <si>
    <t>Bouclier Lourd</t>
  </si>
  <si>
    <t>Epée bâtarde (2M)</t>
  </si>
  <si>
    <t>Epée lourde (2M)</t>
  </si>
  <si>
    <t>Hache d'arçon (2M)</t>
  </si>
  <si>
    <t>Labyr (2M)</t>
  </si>
  <si>
    <t>Lance (2M)</t>
  </si>
  <si>
    <t>Masse lourde (2M)</t>
  </si>
  <si>
    <t>Maillet (2M)</t>
  </si>
  <si>
    <t xml:space="preserve">Equipement supplémentaire 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</si>
</sst>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2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0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40"/>
      <name val="Arial"/>
      <family val="0"/>
    </font>
    <font>
      <sz val="10"/>
      <color indexed="9"/>
      <name val="Arial"/>
      <family val="0"/>
    </font>
    <font>
      <b/>
      <sz val="8"/>
      <color indexed="48"/>
      <name val="Arial"/>
      <family val="2"/>
    </font>
    <font>
      <b/>
      <sz val="14"/>
      <color indexed="48"/>
      <name val="Arial"/>
      <family val="2"/>
    </font>
    <font>
      <sz val="10"/>
      <color indexed="42"/>
      <name val="Arial"/>
      <family val="0"/>
    </font>
    <font>
      <b/>
      <sz val="10"/>
      <color indexed="4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6" fillId="2" borderId="17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4" fillId="0" borderId="2" xfId="0" applyFont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3" fillId="3" borderId="29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3" borderId="29" xfId="0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3" borderId="31" xfId="0" applyFont="1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" borderId="0" xfId="0" applyFill="1" applyAlignment="1" quotePrefix="1">
      <alignment/>
    </xf>
    <xf numFmtId="0" fontId="0" fillId="4" borderId="32" xfId="0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" borderId="18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3" borderId="18" xfId="0" applyFill="1" applyBorder="1" applyAlignment="1">
      <alignment/>
    </xf>
    <xf numFmtId="0" fontId="3" fillId="0" borderId="35" xfId="0" applyFont="1" applyBorder="1" applyAlignment="1">
      <alignment horizontal="center"/>
    </xf>
    <xf numFmtId="0" fontId="0" fillId="3" borderId="27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45" xfId="0" applyBorder="1" applyAlignment="1">
      <alignment horizontal="center"/>
    </xf>
    <xf numFmtId="0" fontId="0" fillId="3" borderId="46" xfId="0" applyFill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" borderId="42" xfId="0" applyFill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37" xfId="0" applyFont="1" applyBorder="1" applyAlignment="1">
      <alignment horizontal="center"/>
    </xf>
    <xf numFmtId="0" fontId="0" fillId="4" borderId="35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4" xfId="0" applyFont="1" applyFill="1" applyBorder="1" applyAlignment="1">
      <alignment/>
    </xf>
    <xf numFmtId="0" fontId="0" fillId="3" borderId="24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39" xfId="0" applyFill="1" applyBorder="1" applyAlignment="1">
      <alignment horizontal="center"/>
    </xf>
    <xf numFmtId="0" fontId="0" fillId="3" borderId="26" xfId="0" applyFill="1" applyBorder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left"/>
    </xf>
    <xf numFmtId="0" fontId="15" fillId="3" borderId="0" xfId="0" applyFont="1" applyFill="1" applyBorder="1" applyAlignment="1">
      <alignment/>
    </xf>
    <xf numFmtId="0" fontId="14" fillId="5" borderId="18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/>
    </xf>
    <xf numFmtId="0" fontId="16" fillId="5" borderId="29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51" xfId="0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 horizontal="left" vertical="top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vertical="top"/>
    </xf>
    <xf numFmtId="0" fontId="0" fillId="0" borderId="27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0" xfId="0" applyFont="1" applyAlignment="1">
      <alignment/>
    </xf>
    <xf numFmtId="0" fontId="3" fillId="3" borderId="2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44" xfId="0" applyFill="1" applyBorder="1" applyAlignment="1">
      <alignment/>
    </xf>
    <xf numFmtId="0" fontId="0" fillId="2" borderId="44" xfId="0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23" fillId="3" borderId="24" xfId="0" applyFont="1" applyFill="1" applyBorder="1" applyAlignment="1">
      <alignment/>
    </xf>
    <xf numFmtId="0" fontId="23" fillId="3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1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18" fillId="3" borderId="0" xfId="0" applyFont="1" applyFill="1" applyAlignment="1">
      <alignment horizontal="left"/>
    </xf>
    <xf numFmtId="0" fontId="18" fillId="3" borderId="0" xfId="0" applyFont="1" applyFill="1" applyBorder="1" applyAlignment="1">
      <alignment horizontal="left"/>
    </xf>
    <xf numFmtId="0" fontId="17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18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0" fillId="2" borderId="0" xfId="0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3" fillId="3" borderId="0" xfId="0" applyFont="1" applyFill="1" applyAlignment="1">
      <alignment/>
    </xf>
    <xf numFmtId="0" fontId="23" fillId="3" borderId="3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3" borderId="39" xfId="0" applyFont="1" applyFill="1" applyBorder="1" applyAlignment="1">
      <alignment/>
    </xf>
    <xf numFmtId="0" fontId="3" fillId="5" borderId="29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3" fillId="3" borderId="44" xfId="0" applyFont="1" applyFill="1" applyBorder="1" applyAlignment="1">
      <alignment horizontal="center" wrapText="1"/>
    </xf>
    <xf numFmtId="0" fontId="3" fillId="3" borderId="45" xfId="0" applyFont="1" applyFill="1" applyBorder="1" applyAlignment="1">
      <alignment wrapText="1"/>
    </xf>
    <xf numFmtId="0" fontId="3" fillId="3" borderId="53" xfId="0" applyFont="1" applyFill="1" applyBorder="1" applyAlignment="1">
      <alignment wrapText="1"/>
    </xf>
    <xf numFmtId="0" fontId="3" fillId="3" borderId="48" xfId="0" applyFont="1" applyFill="1" applyBorder="1" applyAlignment="1">
      <alignment wrapText="1"/>
    </xf>
    <xf numFmtId="0" fontId="3" fillId="3" borderId="54" xfId="0" applyFont="1" applyFill="1" applyBorder="1" applyAlignment="1">
      <alignment wrapText="1"/>
    </xf>
    <xf numFmtId="0" fontId="3" fillId="3" borderId="44" xfId="0" applyFont="1" applyFill="1" applyBorder="1" applyAlignment="1">
      <alignment wrapText="1"/>
    </xf>
    <xf numFmtId="0" fontId="3" fillId="3" borderId="55" xfId="0" applyFont="1" applyFill="1" applyBorder="1" applyAlignment="1">
      <alignment wrapText="1"/>
    </xf>
    <xf numFmtId="0" fontId="3" fillId="3" borderId="52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14" fillId="3" borderId="44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right"/>
    </xf>
    <xf numFmtId="0" fontId="14" fillId="3" borderId="53" xfId="0" applyFont="1" applyFill="1" applyBorder="1" applyAlignment="1">
      <alignment horizontal="center" wrapText="1"/>
    </xf>
    <xf numFmtId="0" fontId="14" fillId="3" borderId="54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left" vertical="top" wrapText="1"/>
    </xf>
    <xf numFmtId="0" fontId="14" fillId="3" borderId="44" xfId="0" applyFont="1" applyFill="1" applyBorder="1" applyAlignment="1">
      <alignment horizontal="center" wrapText="1"/>
    </xf>
    <xf numFmtId="0" fontId="14" fillId="3" borderId="52" xfId="0" applyFont="1" applyFill="1" applyBorder="1" applyAlignment="1">
      <alignment horizontal="center" wrapText="1"/>
    </xf>
    <xf numFmtId="0" fontId="14" fillId="5" borderId="56" xfId="0" applyFont="1" applyFill="1" applyBorder="1" applyAlignment="1">
      <alignment horizontal="center"/>
    </xf>
    <xf numFmtId="0" fontId="3" fillId="3" borderId="22" xfId="0" applyFont="1" applyFill="1" applyBorder="1" applyAlignment="1">
      <alignment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/>
    </xf>
    <xf numFmtId="0" fontId="14" fillId="5" borderId="30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 wrapText="1"/>
    </xf>
    <xf numFmtId="0" fontId="3" fillId="5" borderId="58" xfId="0" applyFont="1" applyFill="1" applyBorder="1" applyAlignment="1">
      <alignment horizontal="left" vertical="top" wrapText="1"/>
    </xf>
    <xf numFmtId="0" fontId="3" fillId="5" borderId="59" xfId="0" applyFont="1" applyFill="1" applyBorder="1" applyAlignment="1">
      <alignment horizontal="left" vertical="top" wrapText="1"/>
    </xf>
    <xf numFmtId="0" fontId="3" fillId="5" borderId="60" xfId="0" applyFont="1" applyFill="1" applyBorder="1" applyAlignment="1">
      <alignment horizontal="left" vertical="top" wrapText="1"/>
    </xf>
    <xf numFmtId="0" fontId="3" fillId="5" borderId="3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1" fillId="3" borderId="0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14" fillId="3" borderId="6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6" fontId="1" fillId="0" borderId="18" xfId="0" applyNumberFormat="1" applyFont="1" applyBorder="1" applyAlignment="1">
      <alignment horizontal="center" vertical="top" wrapText="1"/>
    </xf>
    <xf numFmtId="166" fontId="0" fillId="0" borderId="18" xfId="0" applyNumberFormat="1" applyBorder="1" applyAlignment="1">
      <alignment/>
    </xf>
    <xf numFmtId="166" fontId="4" fillId="0" borderId="18" xfId="0" applyNumberFormat="1" applyFont="1" applyBorder="1" applyAlignment="1">
      <alignment horizontal="center" vertical="top" wrapText="1"/>
    </xf>
    <xf numFmtId="166" fontId="0" fillId="0" borderId="18" xfId="0" applyNumberFormat="1" applyBorder="1" applyAlignment="1">
      <alignment horizontal="center"/>
    </xf>
    <xf numFmtId="0" fontId="1" fillId="3" borderId="11" xfId="0" applyFont="1" applyFill="1" applyBorder="1" applyAlignment="1">
      <alignment horizontal="center" vertical="top" wrapText="1"/>
    </xf>
    <xf numFmtId="1" fontId="14" fillId="3" borderId="24" xfId="0" applyNumberFormat="1" applyFont="1" applyFill="1" applyBorder="1" applyAlignment="1">
      <alignment horizontal="distributed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3" borderId="62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14" fillId="5" borderId="38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5" borderId="20" xfId="0" applyFill="1" applyBorder="1" applyAlignment="1">
      <alignment horizontal="justify" vertical="top" wrapText="1"/>
    </xf>
    <xf numFmtId="0" fontId="0" fillId="5" borderId="22" xfId="0" applyFill="1" applyBorder="1" applyAlignment="1">
      <alignment horizontal="justify" vertical="top" wrapText="1"/>
    </xf>
    <xf numFmtId="0" fontId="0" fillId="5" borderId="23" xfId="0" applyFill="1" applyBorder="1" applyAlignment="1">
      <alignment horizontal="justify" vertical="top" wrapText="1"/>
    </xf>
    <xf numFmtId="0" fontId="0" fillId="5" borderId="24" xfId="0" applyFill="1" applyBorder="1" applyAlignment="1">
      <alignment horizontal="justify" vertical="top" wrapText="1"/>
    </xf>
    <xf numFmtId="0" fontId="0" fillId="5" borderId="25" xfId="0" applyFill="1" applyBorder="1" applyAlignment="1">
      <alignment horizontal="justify" vertical="top" wrapText="1"/>
    </xf>
    <xf numFmtId="0" fontId="0" fillId="5" borderId="26" xfId="0" applyFill="1" applyBorder="1" applyAlignment="1">
      <alignment horizontal="justify" vertical="top" wrapText="1"/>
    </xf>
    <xf numFmtId="0" fontId="3" fillId="3" borderId="38" xfId="0" applyFont="1" applyFill="1" applyBorder="1" applyAlignment="1">
      <alignment horizontal="center" wrapText="1"/>
    </xf>
    <xf numFmtId="0" fontId="3" fillId="3" borderId="44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color rgb="FFCCFFCC"/>
      </font>
      <border/>
    </dxf>
    <dxf>
      <font>
        <b/>
        <i/>
        <u val="single"/>
        <strike val="0"/>
        <color rgb="FFFF0000"/>
      </font>
      <border/>
    </dxf>
    <dxf>
      <font>
        <b/>
        <i/>
        <color rgb="FFFF0000"/>
      </font>
      <border/>
    </dxf>
    <dxf>
      <font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zoomScale="80" zoomScaleNormal="80" workbookViewId="0" topLeftCell="A1">
      <selection activeCell="C39" sqref="C39"/>
    </sheetView>
  </sheetViews>
  <sheetFormatPr defaultColWidth="11.421875" defaultRowHeight="15.75" customHeight="1"/>
  <cols>
    <col min="1" max="1" width="2.7109375" style="225" customWidth="1"/>
    <col min="2" max="2" width="2.8515625" style="0" customWidth="1"/>
    <col min="3" max="3" width="19.8515625" style="0" customWidth="1"/>
    <col min="4" max="4" width="10.57421875" style="2" customWidth="1"/>
    <col min="5" max="5" width="10.28125" style="2" customWidth="1"/>
    <col min="6" max="6" width="5.8515625" style="2" customWidth="1"/>
    <col min="7" max="7" width="14.421875" style="2" customWidth="1"/>
    <col min="8" max="8" width="11.421875" style="3" customWidth="1"/>
    <col min="9" max="9" width="3.7109375" style="2" bestFit="1" customWidth="1"/>
    <col min="10" max="10" width="3.140625" style="0" customWidth="1"/>
    <col min="11" max="11" width="1.8515625" style="0" customWidth="1"/>
    <col min="12" max="12" width="3.140625" style="0" customWidth="1"/>
    <col min="13" max="13" width="2.7109375" style="0" customWidth="1"/>
    <col min="14" max="14" width="7.57421875" style="0" customWidth="1"/>
    <col min="15" max="15" width="17.7109375" style="0" customWidth="1"/>
    <col min="16" max="16" width="27.57421875" style="0" customWidth="1"/>
    <col min="17" max="17" width="8.7109375" style="0" bestFit="1" customWidth="1"/>
    <col min="18" max="18" width="6.28125" style="0" customWidth="1"/>
    <col min="19" max="19" width="9.7109375" style="0" customWidth="1"/>
    <col min="20" max="20" width="13.00390625" style="0" customWidth="1"/>
    <col min="21" max="21" width="5.421875" style="0" customWidth="1"/>
    <col min="22" max="22" width="17.140625" style="0" customWidth="1"/>
    <col min="23" max="23" width="2.7109375" style="0" customWidth="1"/>
    <col min="24" max="24" width="3.421875" style="0" customWidth="1"/>
  </cols>
  <sheetData>
    <row r="1" spans="1:9" s="141" customFormat="1" ht="10.5" customHeight="1" thickBot="1">
      <c r="A1" s="224"/>
      <c r="D1" s="142"/>
      <c r="E1" s="142"/>
      <c r="F1" s="142"/>
      <c r="G1" s="142"/>
      <c r="H1" s="201"/>
      <c r="I1" s="142"/>
    </row>
    <row r="2" spans="1:22" s="141" customFormat="1" ht="19.5" customHeight="1">
      <c r="A2" s="224"/>
      <c r="B2" s="147"/>
      <c r="C2" s="148"/>
      <c r="D2" s="149"/>
      <c r="E2" s="149"/>
      <c r="F2" s="149"/>
      <c r="G2" s="149"/>
      <c r="H2" s="200"/>
      <c r="I2" s="149"/>
      <c r="J2" s="150"/>
      <c r="K2" s="144"/>
      <c r="L2" s="224"/>
      <c r="M2" s="147"/>
      <c r="N2" s="148"/>
      <c r="O2" s="298" t="s">
        <v>659</v>
      </c>
      <c r="P2" s="298"/>
      <c r="Q2" s="150"/>
      <c r="S2" s="147"/>
      <c r="T2" s="148"/>
      <c r="U2" s="148"/>
      <c r="V2" s="150"/>
    </row>
    <row r="3" spans="1:22" s="141" customFormat="1" ht="15.75" customHeight="1">
      <c r="A3" s="224"/>
      <c r="B3" s="151"/>
      <c r="C3" s="152" t="s">
        <v>480</v>
      </c>
      <c r="D3" s="302"/>
      <c r="E3" s="302"/>
      <c r="F3" s="153"/>
      <c r="G3" s="154" t="s">
        <v>487</v>
      </c>
      <c r="H3" s="171" t="str">
        <f>IF(B7&lt;3,"Mâle","Femelle")</f>
        <v>Mâle</v>
      </c>
      <c r="I3" s="153"/>
      <c r="J3" s="155"/>
      <c r="K3" s="146"/>
      <c r="L3" s="229"/>
      <c r="M3" s="151"/>
      <c r="N3" s="166" t="str">
        <f>Origine!D122</f>
        <v>Compétence à +5</v>
      </c>
      <c r="O3" s="167"/>
      <c r="P3" s="233" t="str">
        <f>IF(Origine!E122=0," ",Origine!E122)</f>
        <v>Epée courte (Attaque)</v>
      </c>
      <c r="Q3" s="207">
        <f>IF(Origine!E122=0," ",Origine!C122)</f>
        <v>5</v>
      </c>
      <c r="S3" s="151"/>
      <c r="T3" s="215" t="s">
        <v>650</v>
      </c>
      <c r="U3" s="158"/>
      <c r="V3" s="156"/>
    </row>
    <row r="4" spans="1:22" s="141" customFormat="1" ht="15.75" customHeight="1" thickBot="1">
      <c r="A4" s="224"/>
      <c r="B4" s="151"/>
      <c r="C4" s="152"/>
      <c r="D4" s="153"/>
      <c r="E4" s="153"/>
      <c r="F4" s="153"/>
      <c r="G4" s="154"/>
      <c r="H4" s="154"/>
      <c r="I4" s="153"/>
      <c r="J4" s="155"/>
      <c r="K4" s="146"/>
      <c r="L4" s="229"/>
      <c r="M4" s="151"/>
      <c r="N4" s="166" t="str">
        <f>Origine!D123</f>
        <v>Compétence à +4</v>
      </c>
      <c r="O4" s="167"/>
      <c r="P4" s="233" t="str">
        <f>IF(Origine!E123=0," ",Origine!E123)</f>
        <v>Lance à une main en attaque </v>
      </c>
      <c r="Q4" s="207">
        <f>IF(Origine!E123=0," ",Origine!C123)</f>
        <v>4</v>
      </c>
      <c r="S4" s="151"/>
      <c r="T4" s="158"/>
      <c r="U4" s="158"/>
      <c r="V4" s="156"/>
    </row>
    <row r="5" spans="1:22" s="141" customFormat="1" ht="15.75" customHeight="1" thickBot="1">
      <c r="A5" s="224"/>
      <c r="B5" s="208">
        <v>14</v>
      </c>
      <c r="C5" s="152" t="s">
        <v>481</v>
      </c>
      <c r="D5" s="153" t="str">
        <f>VLOOKUP(B5,Données!C139:D164,2)</f>
        <v>Etrusques</v>
      </c>
      <c r="E5" s="153"/>
      <c r="F5" s="153"/>
      <c r="G5" s="154" t="s">
        <v>486</v>
      </c>
      <c r="H5" s="226"/>
      <c r="I5" s="153"/>
      <c r="J5" s="155"/>
      <c r="K5" s="146"/>
      <c r="L5" s="229"/>
      <c r="M5" s="151"/>
      <c r="N5" s="166" t="str">
        <f>Origine!D124</f>
        <v>Compétence à +5</v>
      </c>
      <c r="O5" s="167"/>
      <c r="P5" s="233" t="str">
        <f>IF(Origine!E124=0," ",Origine!E124)</f>
        <v>Bouclier (parade) </v>
      </c>
      <c r="Q5" s="207">
        <f>IF(Origine!E124=0," ",Origine!C124)</f>
        <v>5</v>
      </c>
      <c r="S5" s="151"/>
      <c r="T5" s="239" t="str">
        <f>IF(Origine!E139=0," ",Origine!E139)</f>
        <v>Phalange</v>
      </c>
      <c r="U5" s="241"/>
      <c r="V5" s="82"/>
    </row>
    <row r="6" spans="1:22" s="141" customFormat="1" ht="15.75" customHeight="1" thickBot="1">
      <c r="A6" s="224"/>
      <c r="B6" s="208"/>
      <c r="C6" s="152"/>
      <c r="D6" s="153"/>
      <c r="E6" s="153"/>
      <c r="F6" s="153"/>
      <c r="G6" s="153" t="s">
        <v>15</v>
      </c>
      <c r="H6" s="154"/>
      <c r="I6" s="153"/>
      <c r="J6" s="156"/>
      <c r="K6" s="144"/>
      <c r="L6" s="224"/>
      <c r="M6" s="151"/>
      <c r="N6" s="166" t="str">
        <f>IF(Origine!E125=0," ",IF(B5=21,"Compétence à +6",Origine!D125))</f>
        <v> </v>
      </c>
      <c r="O6" s="167"/>
      <c r="P6" s="233" t="str">
        <f>IF(Origine!E125=0," ",Origine!E125)</f>
        <v> </v>
      </c>
      <c r="Q6" s="207" t="str">
        <f>IF(Origine!E125=0," ",Origine!C125)</f>
        <v> </v>
      </c>
      <c r="S6" s="151"/>
      <c r="T6" s="239" t="str">
        <f>IF(Origine!E140=0," ",Origine!E140)</f>
        <v> </v>
      </c>
      <c r="U6" s="241"/>
      <c r="V6" s="82"/>
    </row>
    <row r="7" spans="1:27" s="141" customFormat="1" ht="15.75" customHeight="1">
      <c r="A7" s="224"/>
      <c r="B7" s="208">
        <v>2</v>
      </c>
      <c r="C7" s="152" t="s">
        <v>483</v>
      </c>
      <c r="D7" s="301" t="str">
        <f>VLOOKUP(B7,Données!C127:D130,2)</f>
        <v>Homme d’expérience</v>
      </c>
      <c r="E7" s="301"/>
      <c r="F7" s="153"/>
      <c r="G7" s="154" t="s">
        <v>485</v>
      </c>
      <c r="H7" s="226"/>
      <c r="I7" s="157" t="s">
        <v>489</v>
      </c>
      <c r="J7" s="156"/>
      <c r="K7" s="144"/>
      <c r="L7" s="224"/>
      <c r="M7" s="151"/>
      <c r="N7" s="166" t="str">
        <f>IF(Origine!E126=0," ",Origine!D126)</f>
        <v> </v>
      </c>
      <c r="O7" s="167"/>
      <c r="P7" s="233" t="str">
        <f>IF(Origine!E126=0," ",Origine!E126)</f>
        <v> </v>
      </c>
      <c r="Q7" s="207" t="str">
        <f>IF(Origine!E126=0," ",Origine!C126)</f>
        <v> </v>
      </c>
      <c r="S7" s="151"/>
      <c r="T7" s="158"/>
      <c r="U7" s="241"/>
      <c r="V7" s="82"/>
      <c r="W7" s="224"/>
      <c r="X7" s="224"/>
      <c r="Y7" s="224"/>
      <c r="Z7" s="224"/>
      <c r="AA7" s="224"/>
    </row>
    <row r="8" spans="1:27" s="141" customFormat="1" ht="15.75" customHeight="1">
      <c r="A8" s="224"/>
      <c r="B8" s="208"/>
      <c r="C8" s="152"/>
      <c r="D8" s="153"/>
      <c r="E8" s="153"/>
      <c r="F8" s="153"/>
      <c r="G8" s="153" t="str">
        <f>CONCATENATE("( entre ",VLOOKUP(D22,Données!L3:M52,2,0)," kg)")</f>
        <v>( entre 96-105 kg)</v>
      </c>
      <c r="H8" s="154"/>
      <c r="I8" s="158"/>
      <c r="J8" s="156"/>
      <c r="K8" s="144"/>
      <c r="L8" s="224"/>
      <c r="M8" s="151"/>
      <c r="N8" s="166"/>
      <c r="O8" s="167"/>
      <c r="P8" s="168"/>
      <c r="Q8" s="207"/>
      <c r="S8" s="151"/>
      <c r="T8" s="256" t="s">
        <v>651</v>
      </c>
      <c r="U8" s="157"/>
      <c r="V8" s="257" t="s">
        <v>649</v>
      </c>
      <c r="W8" s="224"/>
      <c r="X8" s="224"/>
      <c r="Y8" s="224"/>
      <c r="Z8" s="224"/>
      <c r="AA8" s="224"/>
    </row>
    <row r="9" spans="1:27" s="141" customFormat="1" ht="15.75" customHeight="1">
      <c r="A9" s="224"/>
      <c r="B9" s="208">
        <v>3</v>
      </c>
      <c r="C9" s="152" t="s">
        <v>482</v>
      </c>
      <c r="D9" s="301" t="str">
        <f>VLOOKUP(B9,Données!C134:D137,2)</f>
        <v>Zeugites </v>
      </c>
      <c r="E9" s="301"/>
      <c r="F9" s="153"/>
      <c r="G9" s="154" t="s">
        <v>484</v>
      </c>
      <c r="H9" s="226"/>
      <c r="I9" s="157" t="s">
        <v>490</v>
      </c>
      <c r="J9" s="156"/>
      <c r="K9" s="144"/>
      <c r="L9" s="224">
        <f>IF(P9="Langue (au choix)",1,0)</f>
        <v>0</v>
      </c>
      <c r="M9" s="208">
        <v>2</v>
      </c>
      <c r="N9" s="166" t="str">
        <f>Origine!D127</f>
        <v>Au choix à + 2 : </v>
      </c>
      <c r="O9" s="167"/>
      <c r="P9" s="168" t="str">
        <f>VLOOKUP(M9,Origine!A127:E129,5)</f>
        <v>Esquive</v>
      </c>
      <c r="Q9" s="207">
        <v>2</v>
      </c>
      <c r="S9" s="208">
        <v>2</v>
      </c>
      <c r="T9" s="158" t="str">
        <f>VLOOKUP(S9,Compétences!B76:C95,2)</f>
        <v>Apnée</v>
      </c>
      <c r="U9" s="172"/>
      <c r="V9" s="255">
        <f>IF(S9&gt;1,5,0)</f>
        <v>5</v>
      </c>
      <c r="W9" s="224"/>
      <c r="X9" s="224">
        <f>IF(Y9="Artisanat",1,IF(Y9="Artisanat (2)",2,0))</f>
        <v>0</v>
      </c>
      <c r="Y9" s="224" t="str">
        <f>P9</f>
        <v>Esquive</v>
      </c>
      <c r="Z9" s="224">
        <v>2</v>
      </c>
      <c r="AA9" s="224"/>
    </row>
    <row r="10" spans="1:27" s="141" customFormat="1" ht="15.75" customHeight="1" thickBot="1">
      <c r="A10" s="224"/>
      <c r="B10" s="151"/>
      <c r="C10" s="152"/>
      <c r="D10" s="153"/>
      <c r="E10" s="153"/>
      <c r="F10" s="153"/>
      <c r="G10" s="154"/>
      <c r="H10" s="154"/>
      <c r="I10" s="157"/>
      <c r="J10" s="156"/>
      <c r="K10" s="144"/>
      <c r="L10" s="224"/>
      <c r="M10" s="208"/>
      <c r="N10" s="166"/>
      <c r="O10" s="167"/>
      <c r="P10" s="168"/>
      <c r="Q10" s="207"/>
      <c r="S10" s="208">
        <v>1</v>
      </c>
      <c r="T10" s="158" t="str">
        <f>VLOOKUP(S10,Compétences!B76:C95,2)</f>
        <v>Aucune</v>
      </c>
      <c r="U10" s="172"/>
      <c r="V10" s="240">
        <f>IF(S10&gt;1,5,0)</f>
        <v>0</v>
      </c>
      <c r="W10" s="224"/>
      <c r="X10" s="224"/>
      <c r="Y10" s="224"/>
      <c r="Z10" s="224"/>
      <c r="AA10" s="224"/>
    </row>
    <row r="11" spans="1:27" s="141" customFormat="1" ht="15.75" customHeight="1" thickBot="1">
      <c r="A11" s="224"/>
      <c r="B11" s="151"/>
      <c r="C11" s="153"/>
      <c r="D11" s="153"/>
      <c r="E11" s="159" t="s">
        <v>502</v>
      </c>
      <c r="F11" s="174">
        <f>VLOOKUP(B7,Données!C127:E130,3)</f>
        <v>55</v>
      </c>
      <c r="G11" s="159" t="s">
        <v>514</v>
      </c>
      <c r="H11" s="174">
        <f>F11-SUM(D14:D20)</f>
        <v>0</v>
      </c>
      <c r="I11" s="153"/>
      <c r="J11" s="156"/>
      <c r="K11" s="144"/>
      <c r="L11" s="224">
        <f>IF(P11="Langue (au choix)",1,0)</f>
        <v>0</v>
      </c>
      <c r="M11" s="208">
        <v>3</v>
      </c>
      <c r="N11" s="166" t="str">
        <f>Origine!D130</f>
        <v>Au choix à + 4 : </v>
      </c>
      <c r="O11" s="167"/>
      <c r="P11" s="168" t="str">
        <f>VLOOKUP(M11,Origine!A130:E132,5)</f>
        <v>Artisanat</v>
      </c>
      <c r="Q11" s="207">
        <v>4</v>
      </c>
      <c r="S11" s="208">
        <v>1</v>
      </c>
      <c r="T11" s="158" t="str">
        <f>VLOOKUP(S11,Compétences!B76:C95,2)</f>
        <v>Aucune</v>
      </c>
      <c r="U11" s="172"/>
      <c r="V11" s="240">
        <f>IF(S11&gt;1,5,0)</f>
        <v>0</v>
      </c>
      <c r="W11" s="224"/>
      <c r="X11" s="224">
        <f>IF(Y11="Artisanat",1,IF(Y11="Artisanat (2)",2,0))</f>
        <v>1</v>
      </c>
      <c r="Y11" s="224" t="str">
        <f>P11</f>
        <v>Artisanat</v>
      </c>
      <c r="Z11" s="224">
        <v>4</v>
      </c>
      <c r="AA11" s="224"/>
    </row>
    <row r="12" spans="1:27" s="141" customFormat="1" ht="15.75" customHeight="1" thickBot="1">
      <c r="A12" s="224"/>
      <c r="B12" s="151"/>
      <c r="C12" s="153"/>
      <c r="D12" s="160" t="str">
        <f>IF(B7&gt;2,"Attention les femmes ont -1 en Force et +1 en Adresse"," ")</f>
        <v> </v>
      </c>
      <c r="E12" s="159"/>
      <c r="F12" s="153"/>
      <c r="G12" s="159"/>
      <c r="H12" s="154"/>
      <c r="I12" s="153"/>
      <c r="J12" s="156"/>
      <c r="K12" s="144"/>
      <c r="L12" s="224"/>
      <c r="M12" s="208"/>
      <c r="N12" s="166"/>
      <c r="O12" s="167"/>
      <c r="P12" s="168"/>
      <c r="Q12" s="207"/>
      <c r="S12" s="162"/>
      <c r="T12" s="163"/>
      <c r="U12" s="163"/>
      <c r="V12" s="165"/>
      <c r="W12" s="224"/>
      <c r="X12" s="224"/>
      <c r="Y12" s="224"/>
      <c r="Z12" s="224"/>
      <c r="AA12" s="224"/>
    </row>
    <row r="13" spans="1:27" s="141" customFormat="1" ht="15.75" customHeight="1" thickBot="1">
      <c r="A13" s="224"/>
      <c r="B13" s="151"/>
      <c r="C13" s="153"/>
      <c r="D13" s="154" t="s">
        <v>13</v>
      </c>
      <c r="E13" s="154" t="s">
        <v>14</v>
      </c>
      <c r="F13" s="154"/>
      <c r="G13" s="153"/>
      <c r="H13" s="154"/>
      <c r="I13" s="153"/>
      <c r="J13" s="156"/>
      <c r="K13" s="144"/>
      <c r="L13" s="224">
        <f>IF(P13="Langue (au choix)",1,0)</f>
        <v>0</v>
      </c>
      <c r="M13" s="208">
        <v>2</v>
      </c>
      <c r="N13" s="166" t="str">
        <f>Origine!D133</f>
        <v>Au choix à + 3 :</v>
      </c>
      <c r="O13" s="167"/>
      <c r="P13" s="168" t="str">
        <f>VLOOKUP(M13,Origine!A133:E135,5)</f>
        <v>Convaincre</v>
      </c>
      <c r="Q13" s="207">
        <v>3</v>
      </c>
      <c r="W13" s="224"/>
      <c r="X13" s="224">
        <f>IF(Y13="Artisanat",1,IF(Y13="Artisanat (2)",2,0))</f>
        <v>0</v>
      </c>
      <c r="Y13" s="224" t="str">
        <f>P13</f>
        <v>Convaincre</v>
      </c>
      <c r="Z13" s="224">
        <v>3</v>
      </c>
      <c r="AA13" s="224"/>
    </row>
    <row r="14" spans="1:27" s="141" customFormat="1" ht="15.75" customHeight="1">
      <c r="A14" s="224"/>
      <c r="B14" s="151"/>
      <c r="C14" s="161" t="s">
        <v>0</v>
      </c>
      <c r="D14" s="226">
        <v>8</v>
      </c>
      <c r="E14" s="171">
        <f aca="true" t="shared" si="0" ref="E14:E20">ROUNDUP(D14/3,0)</f>
        <v>3</v>
      </c>
      <c r="F14" s="153"/>
      <c r="G14" s="161" t="s">
        <v>7</v>
      </c>
      <c r="H14" s="171">
        <f>ROUNDUP(D17/3,0)</f>
        <v>3</v>
      </c>
      <c r="I14" s="153"/>
      <c r="J14" s="156"/>
      <c r="K14" s="144"/>
      <c r="L14" s="224"/>
      <c r="M14" s="208"/>
      <c r="N14" s="166"/>
      <c r="O14" s="167"/>
      <c r="P14" s="168"/>
      <c r="Q14" s="207"/>
      <c r="S14" s="147"/>
      <c r="T14" s="148"/>
      <c r="U14" s="148"/>
      <c r="V14" s="150"/>
      <c r="W14" s="224"/>
      <c r="X14" s="224"/>
      <c r="Y14" s="224"/>
      <c r="Z14" s="224"/>
      <c r="AA14" s="224"/>
    </row>
    <row r="15" spans="1:27" s="141" customFormat="1" ht="15.75" customHeight="1">
      <c r="A15" s="224"/>
      <c r="B15" s="151"/>
      <c r="C15" s="161" t="s">
        <v>1</v>
      </c>
      <c r="D15" s="226">
        <v>6</v>
      </c>
      <c r="E15" s="171">
        <f t="shared" si="0"/>
        <v>2</v>
      </c>
      <c r="F15" s="153"/>
      <c r="G15" s="161" t="s">
        <v>8</v>
      </c>
      <c r="H15" s="171">
        <f>D19*2</f>
        <v>20</v>
      </c>
      <c r="I15" s="153"/>
      <c r="J15" s="156"/>
      <c r="K15" s="144"/>
      <c r="L15" s="224">
        <f>IF(P15="Langue (au choix)",1,0)</f>
        <v>0</v>
      </c>
      <c r="M15" s="208">
        <v>1</v>
      </c>
      <c r="N15" s="166" t="str">
        <f>Origine!D136</f>
        <v>Au choix à + 2 :  </v>
      </c>
      <c r="O15" s="167"/>
      <c r="P15" s="86" t="str">
        <f>VLOOKUP(M15,Origine!A136:E138,5)</f>
        <v>Orientation</v>
      </c>
      <c r="Q15" s="207">
        <v>2</v>
      </c>
      <c r="S15" s="151"/>
      <c r="T15" s="216" t="s">
        <v>653</v>
      </c>
      <c r="U15" s="158"/>
      <c r="V15" s="156"/>
      <c r="W15" s="224"/>
      <c r="X15" s="224">
        <f>IF(Y15="Artisanat",1,IF(Y15="Artisanat (2)",2,0))</f>
        <v>0</v>
      </c>
      <c r="Y15" s="224" t="str">
        <f>P15</f>
        <v>Orientation</v>
      </c>
      <c r="Z15" s="224">
        <v>2</v>
      </c>
      <c r="AA15" s="224"/>
    </row>
    <row r="16" spans="1:27" s="141" customFormat="1" ht="15.75" customHeight="1">
      <c r="A16" s="224"/>
      <c r="B16" s="151"/>
      <c r="C16" s="161" t="s">
        <v>2</v>
      </c>
      <c r="D16" s="226">
        <v>7</v>
      </c>
      <c r="E16" s="171">
        <f t="shared" si="0"/>
        <v>3</v>
      </c>
      <c r="F16" s="153"/>
      <c r="G16" s="161" t="s">
        <v>9</v>
      </c>
      <c r="H16" s="171">
        <f>E16+E20</f>
        <v>5</v>
      </c>
      <c r="I16" s="153"/>
      <c r="J16" s="156"/>
      <c r="K16" s="144"/>
      <c r="L16" s="224"/>
      <c r="M16" s="151"/>
      <c r="N16" s="166"/>
      <c r="O16" s="167"/>
      <c r="P16" s="168"/>
      <c r="Q16" s="207"/>
      <c r="S16" s="151"/>
      <c r="T16" s="158"/>
      <c r="U16" s="158"/>
      <c r="V16" s="156"/>
      <c r="W16" s="224"/>
      <c r="X16" s="224"/>
      <c r="Y16" s="224"/>
      <c r="Z16" s="224"/>
      <c r="AA16" s="224"/>
    </row>
    <row r="17" spans="1:27" s="141" customFormat="1" ht="15.75" customHeight="1">
      <c r="A17" s="224"/>
      <c r="B17" s="151"/>
      <c r="C17" s="161" t="s">
        <v>3</v>
      </c>
      <c r="D17" s="226">
        <v>8</v>
      </c>
      <c r="E17" s="171">
        <f t="shared" si="0"/>
        <v>3</v>
      </c>
      <c r="F17" s="153"/>
      <c r="G17" s="161" t="s">
        <v>10</v>
      </c>
      <c r="H17" s="171">
        <f>D18+D17+D16</f>
        <v>25</v>
      </c>
      <c r="I17" s="153"/>
      <c r="J17" s="156"/>
      <c r="K17" s="144"/>
      <c r="L17" s="224">
        <f>IF(P17="Langue (au choix)",1,0)</f>
        <v>0</v>
      </c>
      <c r="M17" s="151"/>
      <c r="N17" s="166" t="str">
        <f>Origine!D141</f>
        <v>Langues maîtrisées :  + 3</v>
      </c>
      <c r="O17" s="167"/>
      <c r="P17" s="173" t="str">
        <f>IF(Origine!E141=0," ",Origine!E141)</f>
        <v>Etrusque</v>
      </c>
      <c r="Q17" s="207">
        <f>IF(Origine!E141=0," ",Origine!C141)</f>
        <v>3</v>
      </c>
      <c r="S17" s="151"/>
      <c r="T17" s="233" t="str">
        <f>Données!D166</f>
        <v>Prémonition </v>
      </c>
      <c r="U17" s="158"/>
      <c r="V17" s="156"/>
      <c r="W17" s="224"/>
      <c r="X17" s="224"/>
      <c r="Y17" s="224"/>
      <c r="Z17" s="224"/>
      <c r="AA17" s="224"/>
    </row>
    <row r="18" spans="1:27" s="141" customFormat="1" ht="15.75" customHeight="1">
      <c r="A18" s="224"/>
      <c r="B18" s="151"/>
      <c r="C18" s="161" t="s">
        <v>4</v>
      </c>
      <c r="D18" s="226">
        <v>10</v>
      </c>
      <c r="E18" s="171">
        <f t="shared" si="0"/>
        <v>4</v>
      </c>
      <c r="F18" s="153"/>
      <c r="G18" s="161" t="s">
        <v>11</v>
      </c>
      <c r="H18" s="171">
        <f>ROUNDUP(H17/3,0)</f>
        <v>9</v>
      </c>
      <c r="I18" s="153"/>
      <c r="J18" s="156"/>
      <c r="K18" s="144"/>
      <c r="L18" s="224">
        <f>IF(P18="Langue (au choix)",1,0)</f>
        <v>0</v>
      </c>
      <c r="M18" s="151"/>
      <c r="N18" s="166" t="str">
        <f>IF(Origine!E142=0," ",Origine!D142)</f>
        <v>Langues maîtrisées : +1</v>
      </c>
      <c r="O18" s="167"/>
      <c r="P18" s="173" t="str">
        <f>IF(Origine!E142=0," ",Origine!E142)</f>
        <v>Latin</v>
      </c>
      <c r="Q18" s="207">
        <f>IF(Origine!E142=0," ",Origine!C142)</f>
        <v>1</v>
      </c>
      <c r="S18" s="151"/>
      <c r="T18" s="233" t="str">
        <f>Données!D167</f>
        <v>Doigts d’or  </v>
      </c>
      <c r="U18" s="158"/>
      <c r="V18" s="156"/>
      <c r="W18" s="224"/>
      <c r="X18" s="224">
        <f>IF(VLOOKUP(1,X9:Z15,1)&gt;0,VLOOKUP(1,X9:Z15,3),0)</f>
        <v>0</v>
      </c>
      <c r="Y18" s="224">
        <f>VLOOKUP(1,X9:Z15,1)</f>
        <v>0</v>
      </c>
      <c r="Z18" s="224"/>
      <c r="AA18" s="224"/>
    </row>
    <row r="19" spans="1:27" s="141" customFormat="1" ht="15.75" customHeight="1" thickBot="1">
      <c r="A19" s="224"/>
      <c r="B19" s="151"/>
      <c r="C19" s="161" t="s">
        <v>5</v>
      </c>
      <c r="D19" s="226">
        <v>10</v>
      </c>
      <c r="E19" s="171">
        <f t="shared" si="0"/>
        <v>4</v>
      </c>
      <c r="F19" s="153"/>
      <c r="G19" s="153"/>
      <c r="H19" s="154"/>
      <c r="I19" s="153"/>
      <c r="J19" s="156"/>
      <c r="K19" s="144"/>
      <c r="L19" s="224">
        <f>IF(P19="Langue (au choix)",1,0)</f>
        <v>0</v>
      </c>
      <c r="M19" s="151"/>
      <c r="N19" s="167" t="str">
        <f>IF(Origine!E143=0," ",Origine!D143)</f>
        <v> </v>
      </c>
      <c r="O19" s="167"/>
      <c r="P19" s="170" t="str">
        <f>IF(Origine!E143=0," ",Origine!E143)</f>
        <v> </v>
      </c>
      <c r="Q19" s="156" t="str">
        <f>IF(Origine!E143=0," ",Origine!C143)</f>
        <v> </v>
      </c>
      <c r="S19" s="151"/>
      <c r="T19" s="233" t="str">
        <f>Données!D168</f>
        <v>Sixième sens </v>
      </c>
      <c r="U19" s="158"/>
      <c r="V19" s="156"/>
      <c r="W19" s="224"/>
      <c r="X19" s="224">
        <f>SUM(X9:X15)</f>
        <v>1</v>
      </c>
      <c r="Y19" s="224"/>
      <c r="Z19" s="224"/>
      <c r="AA19" s="224"/>
    </row>
    <row r="20" spans="1:27" s="141" customFormat="1" ht="15.75" customHeight="1" thickBot="1">
      <c r="A20" s="224"/>
      <c r="B20" s="151"/>
      <c r="C20" s="161" t="s">
        <v>6</v>
      </c>
      <c r="D20" s="226">
        <v>6</v>
      </c>
      <c r="E20" s="171">
        <f t="shared" si="0"/>
        <v>2</v>
      </c>
      <c r="F20" s="153"/>
      <c r="G20" s="159" t="s">
        <v>574</v>
      </c>
      <c r="H20" s="175" t="str">
        <f>VLOOKUP(D18,Données!T2:U31,2)</f>
        <v>+1D6+1</v>
      </c>
      <c r="I20" s="153"/>
      <c r="J20" s="156"/>
      <c r="K20" s="144"/>
      <c r="L20" s="224">
        <f>SUM(L9:L19)</f>
        <v>0</v>
      </c>
      <c r="M20" s="162"/>
      <c r="N20" s="163"/>
      <c r="O20" s="163"/>
      <c r="P20" s="163"/>
      <c r="Q20" s="165"/>
      <c r="S20" s="162"/>
      <c r="T20" s="163"/>
      <c r="U20" s="163"/>
      <c r="V20" s="165"/>
      <c r="W20" s="224"/>
      <c r="X20" s="224"/>
      <c r="Y20" s="224"/>
      <c r="Z20" s="224"/>
      <c r="AA20" s="224"/>
    </row>
    <row r="21" spans="1:27" s="141" customFormat="1" ht="9" customHeight="1" thickBot="1">
      <c r="A21" s="224"/>
      <c r="B21" s="151"/>
      <c r="C21" s="161"/>
      <c r="D21" s="153"/>
      <c r="E21" s="172"/>
      <c r="F21" s="153"/>
      <c r="G21" s="159"/>
      <c r="H21" s="154"/>
      <c r="I21" s="153"/>
      <c r="J21" s="156"/>
      <c r="K21" s="144"/>
      <c r="L21" s="224"/>
      <c r="M21" s="143"/>
      <c r="W21" s="224"/>
      <c r="X21" s="224"/>
      <c r="Y21" s="224"/>
      <c r="Z21" s="224"/>
      <c r="AA21" s="224"/>
    </row>
    <row r="22" spans="1:22" s="141" customFormat="1" ht="15.75" customHeight="1" thickBot="1">
      <c r="A22" s="224"/>
      <c r="B22" s="151"/>
      <c r="C22" s="161" t="s">
        <v>12</v>
      </c>
      <c r="D22" s="171">
        <f>IF(D18-(ROUNDUP(D17/3,0))&lt;1,3,D18-(ROUNDUP(D17/3,0))+2)</f>
        <v>9</v>
      </c>
      <c r="E22" s="171">
        <f>ROUNDUP(D22/3,0)</f>
        <v>3</v>
      </c>
      <c r="F22" s="153"/>
      <c r="G22" s="159" t="s">
        <v>575</v>
      </c>
      <c r="H22" s="175" t="str">
        <f>VLOOKUP(D18,Données!T2:V31,3)</f>
        <v>+1D6</v>
      </c>
      <c r="I22" s="153"/>
      <c r="J22" s="156"/>
      <c r="K22" s="144"/>
      <c r="L22" s="224"/>
      <c r="M22" s="147"/>
      <c r="N22" s="148"/>
      <c r="O22" s="148"/>
      <c r="P22" s="148"/>
      <c r="Q22" s="150"/>
      <c r="S22" s="265"/>
      <c r="T22" s="266" t="s">
        <v>676</v>
      </c>
      <c r="U22" s="148"/>
      <c r="V22" s="264" t="s">
        <v>675</v>
      </c>
    </row>
    <row r="23" spans="1:22" s="141" customFormat="1" ht="15.75" customHeight="1" thickBot="1">
      <c r="A23" s="224"/>
      <c r="B23" s="162"/>
      <c r="C23" s="163"/>
      <c r="D23" s="164"/>
      <c r="E23" s="164"/>
      <c r="F23" s="164"/>
      <c r="G23" s="164"/>
      <c r="H23" s="206"/>
      <c r="I23" s="164"/>
      <c r="J23" s="165"/>
      <c r="K23" s="144"/>
      <c r="L23" s="224"/>
      <c r="M23" s="151"/>
      <c r="N23" s="175">
        <f>VLOOKUP(B7,Données!I134:J137,2)-(H28+H29+H30+H32+H35+H47+H48+H49+H50+H51+H52+H53+H54+H55+H59+H60+H61+H62+H63+V9+V10+V11)</f>
        <v>14</v>
      </c>
      <c r="O23" s="169" t="s">
        <v>639</v>
      </c>
      <c r="P23" s="158"/>
      <c r="Q23" s="156"/>
      <c r="S23" s="151"/>
      <c r="T23" s="233" t="str">
        <f>CONCATENATE(Origine!E144," oboles")</f>
        <v>100 oboles</v>
      </c>
      <c r="U23" s="158"/>
      <c r="V23" s="289">
        <f>V38+U54+U55+U56+R60+R61+R62</f>
        <v>14.399999999999999</v>
      </c>
    </row>
    <row r="24" spans="1:37" s="141" customFormat="1" ht="11.25" customHeight="1" thickBot="1">
      <c r="A24" s="224"/>
      <c r="B24" s="144"/>
      <c r="C24" s="144"/>
      <c r="D24" s="145"/>
      <c r="E24" s="145"/>
      <c r="F24" s="145"/>
      <c r="G24" s="145"/>
      <c r="H24" s="202"/>
      <c r="I24" s="145"/>
      <c r="J24" s="144"/>
      <c r="K24" s="144"/>
      <c r="L24" s="224"/>
      <c r="M24" s="162"/>
      <c r="N24" s="163"/>
      <c r="O24" s="163"/>
      <c r="P24" s="163"/>
      <c r="Q24" s="165"/>
      <c r="S24" s="162"/>
      <c r="T24" s="163"/>
      <c r="U24" s="163"/>
      <c r="V24" s="165"/>
      <c r="AH24" s="290"/>
      <c r="AI24" s="290"/>
      <c r="AJ24" s="290"/>
      <c r="AK24" s="290"/>
    </row>
    <row r="25" spans="1:37" s="141" customFormat="1" ht="15.75" customHeight="1" thickBot="1">
      <c r="A25" s="224"/>
      <c r="D25" s="142"/>
      <c r="E25" s="176" t="s">
        <v>638</v>
      </c>
      <c r="F25" s="142"/>
      <c r="G25" s="142"/>
      <c r="H25" s="201"/>
      <c r="I25" s="142"/>
      <c r="AH25" s="290"/>
      <c r="AI25" s="290"/>
      <c r="AJ25" s="290"/>
      <c r="AK25" s="290"/>
    </row>
    <row r="26" spans="1:37" ht="15.75" customHeight="1">
      <c r="A26" s="224"/>
      <c r="B26" s="147"/>
      <c r="C26" s="148"/>
      <c r="D26" s="149"/>
      <c r="E26" s="149"/>
      <c r="F26" s="149"/>
      <c r="G26" s="149"/>
      <c r="H26" s="200"/>
      <c r="I26" s="149"/>
      <c r="J26" s="148"/>
      <c r="K26" s="148"/>
      <c r="L26" s="148"/>
      <c r="M26" s="209"/>
      <c r="N26" s="147"/>
      <c r="O26" s="148"/>
      <c r="P26" s="242" t="s">
        <v>671</v>
      </c>
      <c r="Q26" s="148"/>
      <c r="R26" s="148"/>
      <c r="S26" s="148"/>
      <c r="T26" s="148"/>
      <c r="U26" s="148"/>
      <c r="V26" s="148"/>
      <c r="W26" s="148"/>
      <c r="X26" s="150"/>
      <c r="Y26" s="224"/>
      <c r="Z26" s="224"/>
      <c r="AA26" s="224"/>
      <c r="AB26" s="290"/>
      <c r="AC26" s="290"/>
      <c r="AD26" s="290"/>
      <c r="AE26" s="290"/>
      <c r="AF26" s="290"/>
      <c r="AG26" s="290"/>
      <c r="AH26" s="290"/>
      <c r="AI26" s="290"/>
      <c r="AJ26" s="291"/>
      <c r="AK26" s="291"/>
    </row>
    <row r="27" spans="1:37" ht="15.75" customHeight="1" thickBot="1">
      <c r="A27" s="224"/>
      <c r="B27" s="151"/>
      <c r="C27" s="205" t="s">
        <v>647</v>
      </c>
      <c r="D27" s="303" t="s">
        <v>640</v>
      </c>
      <c r="E27" s="303"/>
      <c r="F27" s="167" t="s">
        <v>641</v>
      </c>
      <c r="G27" s="167" t="s">
        <v>642</v>
      </c>
      <c r="H27" s="166" t="s">
        <v>644</v>
      </c>
      <c r="I27" s="166"/>
      <c r="J27" s="297" t="s">
        <v>645</v>
      </c>
      <c r="K27" s="297"/>
      <c r="L27" s="211"/>
      <c r="M27" s="210"/>
      <c r="N27" s="151"/>
      <c r="O27" s="158"/>
      <c r="P27" s="158"/>
      <c r="Q27" s="158"/>
      <c r="R27" s="158"/>
      <c r="S27" s="158"/>
      <c r="T27" s="158"/>
      <c r="U27" s="158"/>
      <c r="V27" s="157" t="s">
        <v>672</v>
      </c>
      <c r="W27" s="158"/>
      <c r="X27" s="156"/>
      <c r="Y27" s="224"/>
      <c r="Z27" s="224"/>
      <c r="AA27" s="224"/>
      <c r="AB27" s="290"/>
      <c r="AC27" s="290"/>
      <c r="AD27" s="290"/>
      <c r="AE27" s="290"/>
      <c r="AF27" s="290"/>
      <c r="AG27" s="290"/>
      <c r="AH27" s="290"/>
      <c r="AI27" s="290"/>
      <c r="AJ27" s="290"/>
      <c r="AK27" s="291"/>
    </row>
    <row r="28" spans="1:37" ht="15.75" customHeight="1" thickBot="1">
      <c r="A28" s="224"/>
      <c r="B28" s="151"/>
      <c r="C28" s="222" t="str">
        <f>P17</f>
        <v>Etrusque</v>
      </c>
      <c r="D28" s="299" t="s">
        <v>238</v>
      </c>
      <c r="E28" s="299"/>
      <c r="F28" s="222">
        <f>psychisme*2</f>
        <v>8</v>
      </c>
      <c r="G28" s="222">
        <f>Q17</f>
        <v>3</v>
      </c>
      <c r="H28" s="223">
        <v>1</v>
      </c>
      <c r="I28" s="105"/>
      <c r="J28" s="305">
        <f>F28+G28+H28+I28</f>
        <v>12</v>
      </c>
      <c r="K28" s="306"/>
      <c r="L28" s="105"/>
      <c r="M28" s="209"/>
      <c r="N28" s="151"/>
      <c r="O28" s="243" t="s">
        <v>197</v>
      </c>
      <c r="P28" s="244" t="s">
        <v>505</v>
      </c>
      <c r="Q28" s="244" t="s">
        <v>127</v>
      </c>
      <c r="R28" s="314" t="s">
        <v>198</v>
      </c>
      <c r="S28" s="315"/>
      <c r="T28" s="316"/>
      <c r="U28" s="158"/>
      <c r="V28" s="308" t="str">
        <f>Origine!E147</f>
        <v>Casque de plaque (Crâne et Visage à 10 points), Cuirasse de plaque (Thorax et Ventre à 10 points), Jupe de cuir souple (Hanches et Cuisses à 3 points).</v>
      </c>
      <c r="W28" s="309"/>
      <c r="X28" s="156"/>
      <c r="Y28" s="224"/>
      <c r="Z28" s="224"/>
      <c r="AA28" s="224"/>
      <c r="AB28" s="290"/>
      <c r="AC28" s="290"/>
      <c r="AD28" s="290"/>
      <c r="AE28" s="290"/>
      <c r="AF28" s="290"/>
      <c r="AG28" s="290"/>
      <c r="AH28" s="290"/>
      <c r="AI28" s="290"/>
      <c r="AJ28" s="290"/>
      <c r="AK28" s="291"/>
    </row>
    <row r="29" spans="1:37" ht="15.75" customHeight="1" thickBot="1">
      <c r="A29" s="224"/>
      <c r="B29" s="151"/>
      <c r="C29" s="222" t="str">
        <f>IF(L18=1," ",P18)</f>
        <v>Latin</v>
      </c>
      <c r="D29" s="299" t="str">
        <f>IF(L18=1," ",IF(Origine!E142=0," ","(psychisme x2"))</f>
        <v>(psychisme x2</v>
      </c>
      <c r="E29" s="299"/>
      <c r="F29" s="222">
        <f>IF(L18=1," ",IF(G29&gt;0,psychisme*2," "))</f>
        <v>8</v>
      </c>
      <c r="G29" s="222">
        <f>IF(L18=1," ",Q18)</f>
        <v>1</v>
      </c>
      <c r="H29" s="223">
        <v>1</v>
      </c>
      <c r="I29" s="213"/>
      <c r="J29" s="305">
        <f>IF(L18=1,0,IF(Origine!E142=0," ",F29+G29+H29+I29))</f>
        <v>10</v>
      </c>
      <c r="K29" s="306"/>
      <c r="L29" s="105"/>
      <c r="M29" s="209"/>
      <c r="N29" s="208">
        <v>11</v>
      </c>
      <c r="O29" s="246" t="s">
        <v>199</v>
      </c>
      <c r="P29" s="247"/>
      <c r="Q29" s="258">
        <f>VLOOKUP(N29,armures,3)</f>
        <v>10</v>
      </c>
      <c r="R29" s="292" t="s">
        <v>200</v>
      </c>
      <c r="S29" s="293"/>
      <c r="T29" s="294"/>
      <c r="U29" s="158"/>
      <c r="V29" s="310"/>
      <c r="W29" s="311"/>
      <c r="X29" s="156"/>
      <c r="Y29" s="224">
        <f>VLOOKUP(Création!N29,armures,7)</f>
        <v>1</v>
      </c>
      <c r="Z29" s="224">
        <f>VLOOKUP(Création!N29,armures,8)</f>
        <v>840</v>
      </c>
      <c r="AA29" s="224"/>
      <c r="AB29" s="290"/>
      <c r="AC29" s="290"/>
      <c r="AD29" s="290"/>
      <c r="AE29" s="290"/>
      <c r="AF29" s="290"/>
      <c r="AG29" s="290"/>
      <c r="AH29" s="290"/>
      <c r="AI29" s="290"/>
      <c r="AJ29" s="290"/>
      <c r="AK29" s="291"/>
    </row>
    <row r="30" spans="1:37" ht="15.75" customHeight="1" thickBot="1">
      <c r="A30" s="224"/>
      <c r="B30" s="151"/>
      <c r="C30" s="212" t="str">
        <f>P19</f>
        <v> </v>
      </c>
      <c r="D30" s="304" t="str">
        <f>IF(Origine!E143=0," ","(psychisme x2")</f>
        <v> </v>
      </c>
      <c r="E30" s="304"/>
      <c r="F30" s="212" t="str">
        <f>IF(Origine!E143&gt;1,psychisme*2," ")</f>
        <v> </v>
      </c>
      <c r="G30" s="212" t="str">
        <f>Q19</f>
        <v> </v>
      </c>
      <c r="H30" s="223"/>
      <c r="I30" s="213"/>
      <c r="J30" s="305" t="str">
        <f>IF(Origine!E143=0," ",F30+G30+H30+I30)</f>
        <v> </v>
      </c>
      <c r="K30" s="306"/>
      <c r="L30" s="105"/>
      <c r="M30" s="209"/>
      <c r="N30" s="208">
        <v>11</v>
      </c>
      <c r="O30" s="248" t="s">
        <v>202</v>
      </c>
      <c r="P30" s="249"/>
      <c r="Q30" s="259">
        <f>VLOOKUP(N30,armures,3)</f>
        <v>10</v>
      </c>
      <c r="R30" s="268" t="s">
        <v>503</v>
      </c>
      <c r="S30" s="269"/>
      <c r="T30" s="263">
        <f>2*Création!D17</f>
        <v>16</v>
      </c>
      <c r="U30" s="158"/>
      <c r="V30" s="310"/>
      <c r="W30" s="311"/>
      <c r="X30" s="156"/>
      <c r="Y30" s="224">
        <f>VLOOKUP(Création!N30,armures,7)</f>
        <v>1</v>
      </c>
      <c r="Z30" s="224">
        <f>VLOOKUP(Création!N30,armures,8)</f>
        <v>840</v>
      </c>
      <c r="AA30" s="224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</row>
    <row r="31" spans="1:37" ht="15.75" customHeight="1" thickBot="1">
      <c r="A31" s="224"/>
      <c r="B31" s="151"/>
      <c r="C31" s="214" t="str">
        <f>IF(L20&gt;0,"Vous avez une langue au choix avec votre origine:","Vous n'avez pas de langue au choix")</f>
        <v>Vous n'avez pas de langue au choix</v>
      </c>
      <c r="D31" s="213"/>
      <c r="E31" s="213"/>
      <c r="F31" s="213"/>
      <c r="G31" s="213"/>
      <c r="H31" s="167"/>
      <c r="I31" s="213"/>
      <c r="J31" s="301"/>
      <c r="K31" s="301"/>
      <c r="L31" s="301"/>
      <c r="M31" s="209"/>
      <c r="N31" s="208"/>
      <c r="O31" s="250"/>
      <c r="P31" s="250"/>
      <c r="Q31" s="261"/>
      <c r="R31" s="245"/>
      <c r="S31" s="245"/>
      <c r="T31" s="254"/>
      <c r="U31" s="158"/>
      <c r="V31" s="310"/>
      <c r="W31" s="311"/>
      <c r="X31" s="156"/>
      <c r="Y31" s="224"/>
      <c r="Z31" s="224"/>
      <c r="AA31" s="224"/>
      <c r="AB31" s="290"/>
      <c r="AC31" s="290"/>
      <c r="AD31" s="290"/>
      <c r="AE31" s="290"/>
      <c r="AF31" s="290"/>
      <c r="AG31" s="290"/>
      <c r="AH31" s="290"/>
      <c r="AI31" s="290"/>
      <c r="AJ31" s="290"/>
      <c r="AK31" s="291"/>
    </row>
    <row r="32" spans="1:37" ht="15.75" customHeight="1" thickBot="1">
      <c r="A32" s="224">
        <v>1</v>
      </c>
      <c r="B32" s="151"/>
      <c r="C32" s="168" t="str">
        <f>VLOOKUP(A32,Compétences!B125:C134,2)</f>
        <v> </v>
      </c>
      <c r="D32" s="300" t="str">
        <f>IF(L20&gt;0,"(psychisme x2)"," ")</f>
        <v> </v>
      </c>
      <c r="E32" s="300"/>
      <c r="F32" s="213" t="str">
        <f>IF(L20&gt;0,psychisme*2," ")</f>
        <v> </v>
      </c>
      <c r="G32" s="213" t="str">
        <f>IF(VLOOKUP(1,L9:Q19,5)&gt;0,VLOOKUP(1,L9:Q19,6)," ")</f>
        <v> </v>
      </c>
      <c r="H32" s="223"/>
      <c r="I32" s="213"/>
      <c r="J32" s="305" t="str">
        <f>IF(L20=1,(F32+G32+H32)," ")</f>
        <v> </v>
      </c>
      <c r="K32" s="306"/>
      <c r="L32" s="105"/>
      <c r="M32" s="209"/>
      <c r="N32" s="208">
        <v>1</v>
      </c>
      <c r="O32" s="246" t="s">
        <v>203</v>
      </c>
      <c r="P32" s="247"/>
      <c r="Q32" s="258">
        <f>VLOOKUP(N32,armures,3)</f>
        <v>0</v>
      </c>
      <c r="R32" s="292" t="s">
        <v>204</v>
      </c>
      <c r="S32" s="293"/>
      <c r="T32" s="294"/>
      <c r="U32" s="158"/>
      <c r="V32" s="310"/>
      <c r="W32" s="311"/>
      <c r="X32" s="156"/>
      <c r="Y32" s="224">
        <f>VLOOKUP(Création!N32,armures,7)</f>
        <v>0</v>
      </c>
      <c r="Z32" s="224">
        <f>VLOOKUP(Création!N32,armures,8)</f>
        <v>0</v>
      </c>
      <c r="AA32" s="224"/>
      <c r="AB32" s="290"/>
      <c r="AC32" s="290"/>
      <c r="AD32" s="290"/>
      <c r="AE32" s="290"/>
      <c r="AF32" s="290"/>
      <c r="AG32" s="290"/>
      <c r="AH32" s="290"/>
      <c r="AI32" s="290"/>
      <c r="AJ32" s="290"/>
      <c r="AK32" s="291"/>
    </row>
    <row r="33" spans="1:37" ht="15.75" customHeight="1" thickBot="1">
      <c r="A33" s="224"/>
      <c r="B33" s="151"/>
      <c r="C33" s="168"/>
      <c r="D33" s="213"/>
      <c r="E33" s="213"/>
      <c r="F33" s="213"/>
      <c r="G33" s="213"/>
      <c r="H33" s="167"/>
      <c r="I33" s="213"/>
      <c r="J33" s="105"/>
      <c r="K33" s="105"/>
      <c r="L33" s="105"/>
      <c r="M33" s="209"/>
      <c r="N33" s="208">
        <v>11</v>
      </c>
      <c r="O33" s="248" t="s">
        <v>206</v>
      </c>
      <c r="P33" s="249"/>
      <c r="Q33" s="259">
        <f>VLOOKUP(N33,armures,3)</f>
        <v>10</v>
      </c>
      <c r="R33" s="268" t="s">
        <v>338</v>
      </c>
      <c r="S33" s="269"/>
      <c r="T33" s="263">
        <f>Création!D17*2+Création!D22</f>
        <v>25</v>
      </c>
      <c r="U33" s="158"/>
      <c r="V33" s="310"/>
      <c r="W33" s="311"/>
      <c r="X33" s="156"/>
      <c r="Y33" s="224">
        <f>VLOOKUP(Création!N33,armures,7)</f>
        <v>1</v>
      </c>
      <c r="Z33" s="224">
        <f>VLOOKUP(Création!N33,armures,8)</f>
        <v>840</v>
      </c>
      <c r="AA33" s="224"/>
      <c r="AB33" s="290"/>
      <c r="AC33" s="290"/>
      <c r="AD33" s="290"/>
      <c r="AE33" s="290"/>
      <c r="AF33" s="290"/>
      <c r="AG33" s="290"/>
      <c r="AH33" s="290"/>
      <c r="AI33" s="290"/>
      <c r="AJ33" s="290"/>
      <c r="AK33" s="291"/>
    </row>
    <row r="34" spans="1:37" ht="15.75" customHeight="1" thickBot="1">
      <c r="A34" s="224"/>
      <c r="B34" s="151"/>
      <c r="C34" s="214" t="s">
        <v>662</v>
      </c>
      <c r="D34" s="213"/>
      <c r="E34" s="213"/>
      <c r="F34" s="213"/>
      <c r="G34" s="213"/>
      <c r="H34" s="167"/>
      <c r="I34" s="213"/>
      <c r="J34" s="105"/>
      <c r="K34" s="105"/>
      <c r="L34" s="105"/>
      <c r="M34" s="209"/>
      <c r="N34" s="208"/>
      <c r="O34" s="251"/>
      <c r="P34" s="252"/>
      <c r="Q34" s="262"/>
      <c r="R34" s="253"/>
      <c r="S34" s="253"/>
      <c r="T34" s="240"/>
      <c r="U34" s="158"/>
      <c r="V34" s="310"/>
      <c r="W34" s="311"/>
      <c r="X34" s="156"/>
      <c r="Y34" s="224"/>
      <c r="Z34" s="224"/>
      <c r="AA34" s="224"/>
      <c r="AB34" s="290"/>
      <c r="AC34" s="290"/>
      <c r="AD34" s="290"/>
      <c r="AE34" s="290"/>
      <c r="AF34" s="290"/>
      <c r="AG34" s="290"/>
      <c r="AH34" s="290"/>
      <c r="AI34" s="290"/>
      <c r="AJ34" s="290"/>
      <c r="AK34" s="291"/>
    </row>
    <row r="35" spans="1:37" ht="15.75" customHeight="1" thickBot="1">
      <c r="A35" s="224">
        <v>10</v>
      </c>
      <c r="B35" s="151"/>
      <c r="C35" s="168"/>
      <c r="D35" s="299">
        <f>IF(C35=0,0,"(psychisme x2)")</f>
        <v>0</v>
      </c>
      <c r="E35" s="299"/>
      <c r="F35" s="222">
        <f>IF(C35=0,0,psychisme*2)</f>
        <v>0</v>
      </c>
      <c r="G35" s="228" t="s">
        <v>648</v>
      </c>
      <c r="H35" s="223"/>
      <c r="I35" s="213"/>
      <c r="J35" s="305">
        <f>IF(H35&gt;0,F35+H35,0)</f>
        <v>0</v>
      </c>
      <c r="K35" s="306"/>
      <c r="L35" s="105"/>
      <c r="M35" s="209"/>
      <c r="N35" s="208">
        <v>1</v>
      </c>
      <c r="O35" s="246" t="s">
        <v>207</v>
      </c>
      <c r="P35" s="247"/>
      <c r="Q35" s="258">
        <f>VLOOKUP(N35,armures,3)</f>
        <v>0</v>
      </c>
      <c r="R35" s="292" t="s">
        <v>208</v>
      </c>
      <c r="S35" s="293"/>
      <c r="T35" s="294"/>
      <c r="U35" s="158"/>
      <c r="V35" s="312"/>
      <c r="W35" s="313"/>
      <c r="X35" s="156"/>
      <c r="Y35" s="224">
        <f>VLOOKUP(Création!N35,armures,7)</f>
        <v>0</v>
      </c>
      <c r="Z35" s="224">
        <f>VLOOKUP(Création!N35,armures,8)</f>
        <v>0</v>
      </c>
      <c r="AA35" s="224"/>
      <c r="AB35" s="290"/>
      <c r="AC35" s="290"/>
      <c r="AD35" s="290"/>
      <c r="AE35" s="290"/>
      <c r="AF35" s="290"/>
      <c r="AG35" s="290"/>
      <c r="AH35" s="290"/>
      <c r="AI35" s="290"/>
      <c r="AJ35" s="290"/>
      <c r="AK35" s="291"/>
    </row>
    <row r="36" spans="1:37" ht="15.75" customHeight="1" thickBot="1">
      <c r="A36" s="224"/>
      <c r="B36" s="162"/>
      <c r="C36" s="163"/>
      <c r="D36" s="164"/>
      <c r="E36" s="164"/>
      <c r="F36" s="164"/>
      <c r="G36" s="164"/>
      <c r="H36" s="206"/>
      <c r="I36" s="164"/>
      <c r="J36" s="163"/>
      <c r="K36" s="163"/>
      <c r="L36" s="163"/>
      <c r="M36" s="209"/>
      <c r="N36" s="208">
        <v>1</v>
      </c>
      <c r="O36" s="248" t="s">
        <v>209</v>
      </c>
      <c r="P36" s="249"/>
      <c r="Q36" s="259">
        <f>VLOOKUP(N36,armures,3)</f>
        <v>0</v>
      </c>
      <c r="R36" s="268" t="s">
        <v>338</v>
      </c>
      <c r="S36" s="269"/>
      <c r="T36" s="263">
        <f>2*Création!D17</f>
        <v>16</v>
      </c>
      <c r="U36" s="158"/>
      <c r="V36" s="158"/>
      <c r="W36" s="158"/>
      <c r="X36" s="156"/>
      <c r="Y36" s="224">
        <f>VLOOKUP(Création!N36,armures,7)</f>
        <v>0</v>
      </c>
      <c r="Z36" s="224">
        <f>VLOOKUP(Création!N36,armures,8)</f>
        <v>0</v>
      </c>
      <c r="AA36" s="224"/>
      <c r="AB36" s="290"/>
      <c r="AC36" s="290"/>
      <c r="AD36" s="290"/>
      <c r="AE36" s="290"/>
      <c r="AF36" s="290"/>
      <c r="AG36" s="290"/>
      <c r="AH36" s="290"/>
      <c r="AI36" s="290"/>
      <c r="AJ36" s="290"/>
      <c r="AK36" s="291"/>
    </row>
    <row r="37" spans="1:37" ht="15.75" customHeight="1" thickBot="1">
      <c r="A37" s="224"/>
      <c r="B37" s="143"/>
      <c r="C37" s="141"/>
      <c r="D37" s="142"/>
      <c r="E37" s="142"/>
      <c r="F37" s="142"/>
      <c r="G37" s="142"/>
      <c r="H37" s="201"/>
      <c r="I37" s="142"/>
      <c r="J37" s="141"/>
      <c r="K37" s="141"/>
      <c r="L37" s="141"/>
      <c r="M37" s="141"/>
      <c r="N37" s="208"/>
      <c r="O37" s="250"/>
      <c r="P37" s="250"/>
      <c r="Q37" s="261"/>
      <c r="R37" s="245"/>
      <c r="S37" s="245"/>
      <c r="T37" s="254"/>
      <c r="U37" s="158"/>
      <c r="V37" s="154" t="s">
        <v>673</v>
      </c>
      <c r="W37" s="158"/>
      <c r="X37" s="156"/>
      <c r="Y37" s="224"/>
      <c r="Z37" s="224"/>
      <c r="AA37" s="224"/>
      <c r="AB37" s="290"/>
      <c r="AC37" s="290"/>
      <c r="AD37" s="290"/>
      <c r="AE37" s="290"/>
      <c r="AF37" s="290"/>
      <c r="AG37" s="290"/>
      <c r="AH37" s="290"/>
      <c r="AI37" s="290"/>
      <c r="AJ37" s="290"/>
      <c r="AK37" s="291"/>
    </row>
    <row r="38" spans="1:37" ht="15.75" customHeight="1">
      <c r="A38" s="224"/>
      <c r="B38" s="147"/>
      <c r="C38" s="148"/>
      <c r="D38" s="149"/>
      <c r="E38" s="149"/>
      <c r="F38" s="149"/>
      <c r="G38" s="149"/>
      <c r="H38" s="200"/>
      <c r="I38" s="149"/>
      <c r="J38" s="148"/>
      <c r="K38" s="148"/>
      <c r="L38" s="150"/>
      <c r="M38" s="144"/>
      <c r="N38" s="208">
        <v>1</v>
      </c>
      <c r="O38" s="246" t="s">
        <v>210</v>
      </c>
      <c r="P38" s="247"/>
      <c r="Q38" s="258">
        <f>VLOOKUP(N38,armures,3)</f>
        <v>0</v>
      </c>
      <c r="R38" s="292" t="s">
        <v>211</v>
      </c>
      <c r="S38" s="293"/>
      <c r="T38" s="294"/>
      <c r="U38" s="158"/>
      <c r="V38" s="172">
        <f>SUM(Y29:Y48)</f>
        <v>4.8999999999999995</v>
      </c>
      <c r="W38" s="158"/>
      <c r="X38" s="156"/>
      <c r="Y38" s="224">
        <f>VLOOKUP(Création!N38,armures,7)</f>
        <v>0</v>
      </c>
      <c r="Z38" s="224">
        <f>VLOOKUP(Création!N38,armures,8)</f>
        <v>0</v>
      </c>
      <c r="AA38" s="224"/>
      <c r="AB38" s="290"/>
      <c r="AC38" s="290"/>
      <c r="AD38" s="290"/>
      <c r="AE38" s="290"/>
      <c r="AF38" s="290"/>
      <c r="AG38" s="290"/>
      <c r="AH38" s="290"/>
      <c r="AI38" s="290"/>
      <c r="AJ38" s="290"/>
      <c r="AK38" s="291"/>
    </row>
    <row r="39" spans="1:37" ht="15.75" customHeight="1" thickBot="1">
      <c r="A39" s="224"/>
      <c r="B39" s="151"/>
      <c r="C39" s="168"/>
      <c r="D39" s="166"/>
      <c r="E39" s="166"/>
      <c r="F39" s="205" t="s">
        <v>654</v>
      </c>
      <c r="G39" s="167"/>
      <c r="H39" s="166"/>
      <c r="I39" s="166"/>
      <c r="J39" s="217"/>
      <c r="K39" s="217"/>
      <c r="L39" s="156"/>
      <c r="M39" s="141"/>
      <c r="N39" s="208">
        <v>1</v>
      </c>
      <c r="O39" s="248" t="s">
        <v>506</v>
      </c>
      <c r="P39" s="249"/>
      <c r="Q39" s="259">
        <f>VLOOKUP(N39,armures,3)</f>
        <v>0</v>
      </c>
      <c r="R39" s="268" t="s">
        <v>338</v>
      </c>
      <c r="S39" s="269"/>
      <c r="T39" s="263">
        <f>2*Création!D17</f>
        <v>16</v>
      </c>
      <c r="U39" s="158"/>
      <c r="V39" s="158"/>
      <c r="W39" s="158"/>
      <c r="X39" s="156"/>
      <c r="Y39" s="224">
        <f>VLOOKUP(Création!N39,armures,7)</f>
        <v>0</v>
      </c>
      <c r="Z39" s="224">
        <f>VLOOKUP(Création!N39,armures,8)</f>
        <v>0</v>
      </c>
      <c r="AA39" s="224"/>
      <c r="AB39" s="290"/>
      <c r="AC39" s="290"/>
      <c r="AD39" s="290"/>
      <c r="AE39" s="290"/>
      <c r="AF39" s="290"/>
      <c r="AG39" s="290"/>
      <c r="AH39" s="290"/>
      <c r="AI39" s="290"/>
      <c r="AJ39" s="290"/>
      <c r="AK39" s="291"/>
    </row>
    <row r="40" spans="1:37" ht="15.75" customHeight="1" thickBot="1">
      <c r="A40" s="224"/>
      <c r="B40" s="151"/>
      <c r="C40" s="168"/>
      <c r="D40" s="213"/>
      <c r="E40" s="213"/>
      <c r="F40" s="213"/>
      <c r="G40" s="213"/>
      <c r="H40" s="167"/>
      <c r="I40" s="213"/>
      <c r="J40" s="168"/>
      <c r="K40" s="168"/>
      <c r="L40" s="156"/>
      <c r="M40" s="141"/>
      <c r="N40" s="208"/>
      <c r="O40" s="251"/>
      <c r="P40" s="252"/>
      <c r="Q40" s="262"/>
      <c r="R40" s="253"/>
      <c r="S40" s="253"/>
      <c r="T40" s="240"/>
      <c r="U40" s="158"/>
      <c r="V40" s="154" t="s">
        <v>674</v>
      </c>
      <c r="W40" s="158"/>
      <c r="X40" s="156"/>
      <c r="Y40" s="224"/>
      <c r="Z40" s="224"/>
      <c r="AA40" s="224"/>
      <c r="AB40" s="290"/>
      <c r="AC40" s="290"/>
      <c r="AD40" s="290"/>
      <c r="AE40" s="290"/>
      <c r="AF40" s="290"/>
      <c r="AG40" s="290"/>
      <c r="AH40" s="290"/>
      <c r="AI40" s="290"/>
      <c r="AJ40" s="290"/>
      <c r="AK40" s="291"/>
    </row>
    <row r="41" spans="1:37" ht="15.75" customHeight="1">
      <c r="A41" s="224"/>
      <c r="B41" s="151"/>
      <c r="C41" s="218" t="str">
        <f>IF(OR(X19=1,X19=2,X19=3)=TRUE,"Choisissez votre Artisanat d'origine :",0)</f>
        <v>Choisissez votre Artisanat d'origine :</v>
      </c>
      <c r="D41" s="213"/>
      <c r="E41" s="213"/>
      <c r="F41" s="219">
        <f>IF(X19=3,"Choisissez votre deuxième Artisanat d'origine :",0)</f>
        <v>0</v>
      </c>
      <c r="G41" s="213"/>
      <c r="H41" s="167"/>
      <c r="I41" s="213"/>
      <c r="J41" s="168"/>
      <c r="K41" s="168"/>
      <c r="L41" s="156"/>
      <c r="M41" s="141"/>
      <c r="N41" s="208">
        <v>11</v>
      </c>
      <c r="O41" s="246" t="s">
        <v>213</v>
      </c>
      <c r="P41" s="247"/>
      <c r="Q41" s="258">
        <f>VLOOKUP(N41,armures,3)</f>
        <v>10</v>
      </c>
      <c r="R41" s="292" t="s">
        <v>214</v>
      </c>
      <c r="S41" s="293"/>
      <c r="T41" s="294"/>
      <c r="U41" s="158"/>
      <c r="V41" s="172">
        <f>SUM(Z29:Z48)</f>
        <v>3405</v>
      </c>
      <c r="W41" s="158"/>
      <c r="X41" s="156"/>
      <c r="Y41" s="224">
        <f>VLOOKUP(Création!N41,armures,7)</f>
        <v>1</v>
      </c>
      <c r="Z41" s="224">
        <f>VLOOKUP(Création!N41,armures,8)</f>
        <v>840</v>
      </c>
      <c r="AA41" s="224"/>
      <c r="AB41" s="290"/>
      <c r="AC41" s="290"/>
      <c r="AD41" s="290"/>
      <c r="AE41" s="290"/>
      <c r="AF41" s="290"/>
      <c r="AG41" s="290"/>
      <c r="AH41" s="290"/>
      <c r="AI41" s="290"/>
      <c r="AJ41" s="290"/>
      <c r="AK41" s="291"/>
    </row>
    <row r="42" spans="1:37" ht="15.75" customHeight="1" thickBot="1">
      <c r="A42" s="224">
        <v>1</v>
      </c>
      <c r="B42" s="151"/>
      <c r="C42" s="168"/>
      <c r="D42" s="74"/>
      <c r="E42" s="213"/>
      <c r="F42" s="230">
        <v>2</v>
      </c>
      <c r="G42" s="231"/>
      <c r="H42" s="232"/>
      <c r="I42" s="234" t="str">
        <f>VLOOKUP(A42,Compétences!D140:F149,2)</f>
        <v>Charpente</v>
      </c>
      <c r="J42" s="235">
        <f>IF(art1=0,0,VLOOKUP(2,X9:Z15,3))</f>
        <v>2</v>
      </c>
      <c r="K42" s="105"/>
      <c r="L42" s="156"/>
      <c r="M42" s="141"/>
      <c r="N42" s="208">
        <v>4</v>
      </c>
      <c r="O42" s="248" t="s">
        <v>216</v>
      </c>
      <c r="P42" s="249"/>
      <c r="Q42" s="259">
        <f>VLOOKUP(N42,armures,3)</f>
        <v>3</v>
      </c>
      <c r="R42" s="268" t="s">
        <v>338</v>
      </c>
      <c r="S42" s="269"/>
      <c r="T42" s="263">
        <f>Création!D17*2+Création!E22</f>
        <v>19</v>
      </c>
      <c r="U42" s="158"/>
      <c r="V42" s="158"/>
      <c r="W42" s="158"/>
      <c r="X42" s="156"/>
      <c r="Y42" s="224">
        <f>VLOOKUP(Création!N42,armures,7)</f>
        <v>0.3</v>
      </c>
      <c r="Z42" s="224">
        <f>VLOOKUP(Création!N42,armures,8)</f>
        <v>15</v>
      </c>
      <c r="AA42" s="224"/>
      <c r="AB42" s="290"/>
      <c r="AC42" s="290"/>
      <c r="AD42" s="290"/>
      <c r="AE42" s="290"/>
      <c r="AF42" s="290"/>
      <c r="AG42" s="290"/>
      <c r="AH42" s="290"/>
      <c r="AI42" s="290"/>
      <c r="AJ42" s="290"/>
      <c r="AK42" s="291"/>
    </row>
    <row r="43" spans="1:37" ht="15.75" customHeight="1" thickBot="1">
      <c r="A43" s="224"/>
      <c r="B43" s="162"/>
      <c r="C43" s="163"/>
      <c r="D43" s="164"/>
      <c r="E43" s="164"/>
      <c r="F43" s="236"/>
      <c r="G43" s="236"/>
      <c r="H43" s="237"/>
      <c r="I43" s="236" t="str">
        <f>VLOOKUP(F42,Compétences!D140:F149,3)</f>
        <v> </v>
      </c>
      <c r="J43" s="238">
        <f>IF(art2=0,0,VLOOKUP(2,X9:Z15,3))</f>
        <v>0</v>
      </c>
      <c r="K43" s="164"/>
      <c r="L43" s="165"/>
      <c r="M43" s="141"/>
      <c r="N43" s="208"/>
      <c r="O43" s="250"/>
      <c r="P43" s="250"/>
      <c r="Q43" s="261"/>
      <c r="R43" s="245"/>
      <c r="S43" s="245"/>
      <c r="T43" s="254"/>
      <c r="U43" s="158"/>
      <c r="V43" s="158"/>
      <c r="W43" s="158"/>
      <c r="X43" s="156"/>
      <c r="Y43" s="224"/>
      <c r="Z43" s="224"/>
      <c r="AA43" s="224"/>
      <c r="AB43" s="290"/>
      <c r="AC43" s="290"/>
      <c r="AD43" s="290"/>
      <c r="AE43" s="290"/>
      <c r="AF43" s="290"/>
      <c r="AG43" s="290"/>
      <c r="AH43" s="290"/>
      <c r="AI43" s="290"/>
      <c r="AJ43" s="290"/>
      <c r="AK43" s="291"/>
    </row>
    <row r="44" spans="1:37" ht="15.75" customHeight="1" thickBot="1">
      <c r="A44" s="224"/>
      <c r="B44" s="203"/>
      <c r="C44" s="203"/>
      <c r="D44" s="204"/>
      <c r="E44" s="204"/>
      <c r="F44" s="204"/>
      <c r="G44" s="204"/>
      <c r="H44" s="227"/>
      <c r="I44" s="204"/>
      <c r="J44" s="204"/>
      <c r="K44" s="204"/>
      <c r="L44" s="203"/>
      <c r="M44" s="141"/>
      <c r="N44" s="208">
        <v>4</v>
      </c>
      <c r="O44" s="246" t="s">
        <v>217</v>
      </c>
      <c r="P44" s="247"/>
      <c r="Q44" s="258">
        <f>VLOOKUP(N44,armures,3)</f>
        <v>3</v>
      </c>
      <c r="R44" s="292" t="s">
        <v>218</v>
      </c>
      <c r="S44" s="293"/>
      <c r="T44" s="294"/>
      <c r="U44" s="158"/>
      <c r="V44" s="158"/>
      <c r="W44" s="158"/>
      <c r="X44" s="156"/>
      <c r="Y44" s="224">
        <f>VLOOKUP(Création!N44,armures,7)</f>
        <v>0.3</v>
      </c>
      <c r="Z44" s="224">
        <f>VLOOKUP(Création!N44,armures,8)</f>
        <v>15</v>
      </c>
      <c r="AA44" s="224"/>
      <c r="AB44" s="290"/>
      <c r="AC44" s="290"/>
      <c r="AD44" s="290"/>
      <c r="AE44" s="290"/>
      <c r="AF44" s="290"/>
      <c r="AG44" s="290"/>
      <c r="AH44" s="290"/>
      <c r="AI44" s="290"/>
      <c r="AJ44" s="290"/>
      <c r="AK44" s="291"/>
    </row>
    <row r="45" spans="1:37" ht="15.75" customHeight="1" thickBot="1">
      <c r="A45" s="224"/>
      <c r="B45" s="151"/>
      <c r="C45" s="168"/>
      <c r="D45" s="213"/>
      <c r="E45" s="213"/>
      <c r="F45" s="213"/>
      <c r="G45" s="213"/>
      <c r="H45" s="167"/>
      <c r="I45" s="213"/>
      <c r="J45" s="168"/>
      <c r="K45" s="168"/>
      <c r="L45" s="156"/>
      <c r="M45" s="141"/>
      <c r="N45" s="208">
        <v>1</v>
      </c>
      <c r="O45" s="248" t="s">
        <v>219</v>
      </c>
      <c r="P45" s="249"/>
      <c r="Q45" s="259">
        <f>VLOOKUP(N45,armures,3)</f>
        <v>0</v>
      </c>
      <c r="R45" s="268" t="s">
        <v>503</v>
      </c>
      <c r="S45" s="269"/>
      <c r="T45" s="263">
        <f>Création!D17*2+Création!E22</f>
        <v>19</v>
      </c>
      <c r="U45" s="158"/>
      <c r="V45" s="158"/>
      <c r="W45" s="158"/>
      <c r="X45" s="156"/>
      <c r="Y45" s="224">
        <f>VLOOKUP(Création!N45,armures,7)</f>
        <v>0</v>
      </c>
      <c r="Z45" s="224">
        <f>VLOOKUP(Création!N45,armures,8)</f>
        <v>0</v>
      </c>
      <c r="AA45" s="224"/>
      <c r="AB45" s="290"/>
      <c r="AC45" s="290"/>
      <c r="AD45" s="290"/>
      <c r="AE45" s="290"/>
      <c r="AF45" s="290"/>
      <c r="AG45" s="290"/>
      <c r="AH45" s="290"/>
      <c r="AI45" s="290"/>
      <c r="AJ45" s="290"/>
      <c r="AK45" s="291"/>
    </row>
    <row r="46" spans="1:37" ht="15.75" customHeight="1" thickBot="1">
      <c r="A46" s="224"/>
      <c r="B46" s="151"/>
      <c r="C46" s="214" t="s">
        <v>638</v>
      </c>
      <c r="D46" s="303" t="s">
        <v>640</v>
      </c>
      <c r="E46" s="303"/>
      <c r="F46" s="167" t="s">
        <v>641</v>
      </c>
      <c r="G46" s="167" t="s">
        <v>642</v>
      </c>
      <c r="H46" s="166" t="s">
        <v>644</v>
      </c>
      <c r="I46" s="166"/>
      <c r="J46" s="297" t="s">
        <v>645</v>
      </c>
      <c r="K46" s="297"/>
      <c r="L46" s="156"/>
      <c r="M46" s="141"/>
      <c r="N46" s="208"/>
      <c r="O46" s="250"/>
      <c r="P46" s="250"/>
      <c r="Q46" s="261"/>
      <c r="R46" s="245"/>
      <c r="S46" s="245"/>
      <c r="T46" s="254"/>
      <c r="U46" s="158"/>
      <c r="V46" s="158"/>
      <c r="W46" s="158"/>
      <c r="X46" s="156"/>
      <c r="Y46" s="224"/>
      <c r="Z46" s="224"/>
      <c r="AA46" s="224"/>
      <c r="AB46" s="290"/>
      <c r="AC46" s="290"/>
      <c r="AD46" s="290"/>
      <c r="AE46" s="290"/>
      <c r="AF46" s="290"/>
      <c r="AG46" s="290"/>
      <c r="AH46" s="290"/>
      <c r="AI46" s="290"/>
      <c r="AJ46" s="290"/>
      <c r="AK46" s="291"/>
    </row>
    <row r="47" spans="1:36" ht="15.75" customHeight="1" thickBot="1">
      <c r="A47" s="224"/>
      <c r="B47" s="151"/>
      <c r="C47" s="221" t="str">
        <f>Origine!E122</f>
        <v>Epée courte (Attaque)</v>
      </c>
      <c r="D47" s="307" t="str">
        <f>IF(C47=0,0,VLOOKUP(C47,comp2,2,TRUE))</f>
        <v>(adresse / force)</v>
      </c>
      <c r="E47" s="307"/>
      <c r="F47" s="222">
        <f>IF(C47=0,0,VLOOKUP(C47,comp2,3,TRUE))</f>
        <v>7</v>
      </c>
      <c r="G47" s="222">
        <f>IF(C47=0,0,VLOOKUP(C47,co,2,FALSE))</f>
        <v>5</v>
      </c>
      <c r="H47" s="223">
        <v>6</v>
      </c>
      <c r="I47" s="167"/>
      <c r="J47" s="295">
        <f>SUM(F47:I47)</f>
        <v>18</v>
      </c>
      <c r="K47" s="267"/>
      <c r="L47" s="156"/>
      <c r="M47" s="141"/>
      <c r="N47" s="208">
        <v>4</v>
      </c>
      <c r="O47" s="246" t="s">
        <v>220</v>
      </c>
      <c r="P47" s="247"/>
      <c r="Q47" s="258">
        <f>VLOOKUP(N47,armures,3)</f>
        <v>3</v>
      </c>
      <c r="R47" s="292" t="s">
        <v>221</v>
      </c>
      <c r="S47" s="293"/>
      <c r="T47" s="294"/>
      <c r="U47" s="158"/>
      <c r="V47" s="158"/>
      <c r="W47" s="158"/>
      <c r="X47" s="156"/>
      <c r="Y47" s="224">
        <f>VLOOKUP(Création!N47,armures,7)</f>
        <v>0.3</v>
      </c>
      <c r="Z47" s="224">
        <f>VLOOKUP(Création!N47,armures,8)</f>
        <v>15</v>
      </c>
      <c r="AA47" s="224"/>
      <c r="AB47" s="290"/>
      <c r="AC47" s="290"/>
      <c r="AD47" s="290"/>
      <c r="AE47" s="290"/>
      <c r="AF47" s="290"/>
      <c r="AG47" s="290"/>
      <c r="AH47" s="290"/>
      <c r="AI47" s="290"/>
      <c r="AJ47" s="290"/>
    </row>
    <row r="48" spans="1:36" ht="15.75" customHeight="1" thickBot="1">
      <c r="A48" s="224"/>
      <c r="B48" s="151"/>
      <c r="C48" s="221" t="str">
        <f>Origine!E123</f>
        <v>Lance à une main en attaque </v>
      </c>
      <c r="D48" s="307" t="str">
        <f>IF(C48=0,0,VLOOKUP(C48,comp2,2,TRUE))</f>
        <v>(adresse / force)</v>
      </c>
      <c r="E48" s="307"/>
      <c r="F48" s="222">
        <f>IF(C48=0,0,VLOOKUP(C48,comp2,3,TRUE))</f>
        <v>7</v>
      </c>
      <c r="G48" s="222">
        <f>IF(C48=0,0,VLOOKUP(C48,co,2,FALSE))</f>
        <v>4</v>
      </c>
      <c r="H48" s="223">
        <v>4</v>
      </c>
      <c r="I48" s="167"/>
      <c r="J48" s="295">
        <f aca="true" t="shared" si="1" ref="J48:J55">SUM(F48:I48)</f>
        <v>15</v>
      </c>
      <c r="K48" s="267"/>
      <c r="L48" s="156"/>
      <c r="M48" s="141"/>
      <c r="N48" s="208">
        <v>1</v>
      </c>
      <c r="O48" s="248" t="s">
        <v>222</v>
      </c>
      <c r="P48" s="249"/>
      <c r="Q48" s="259">
        <f>VLOOKUP(N48,armures,3)</f>
        <v>0</v>
      </c>
      <c r="R48" s="268" t="s">
        <v>503</v>
      </c>
      <c r="S48" s="269"/>
      <c r="T48" s="263">
        <f>Création!D17*2+Création!E22</f>
        <v>19</v>
      </c>
      <c r="U48" s="158"/>
      <c r="V48" s="158"/>
      <c r="W48" s="158"/>
      <c r="X48" s="156"/>
      <c r="Y48" s="224">
        <f>VLOOKUP(Création!N48,armures,7)</f>
        <v>0</v>
      </c>
      <c r="Z48" s="224">
        <f>VLOOKUP(Création!N48,armures,8)</f>
        <v>0</v>
      </c>
      <c r="AA48" s="224"/>
      <c r="AB48" s="290"/>
      <c r="AC48" s="290"/>
      <c r="AD48" s="290"/>
      <c r="AE48" s="290"/>
      <c r="AF48" s="290"/>
      <c r="AG48" s="290"/>
      <c r="AH48" s="290"/>
      <c r="AI48" s="290"/>
      <c r="AJ48" s="291"/>
    </row>
    <row r="49" spans="1:36" ht="15.75" customHeight="1" thickBot="1">
      <c r="A49" s="224"/>
      <c r="B49" s="151"/>
      <c r="C49" s="221" t="str">
        <f>Origine!E124</f>
        <v>Bouclier (parade) </v>
      </c>
      <c r="D49" s="307" t="str">
        <f>IF(C49=0,0,VLOOKUP(C49,comp2,2,TRUE))</f>
        <v>(adresse / vitesse)</v>
      </c>
      <c r="E49" s="307"/>
      <c r="F49" s="222">
        <f>IF(C49=0,0,VLOOKUP(C49,comp2,3,TRUE))</f>
        <v>5</v>
      </c>
      <c r="G49" s="222">
        <f>IF(C49=0,0,VLOOKUP(C49,co,2,FALSE))</f>
        <v>5</v>
      </c>
      <c r="H49" s="223">
        <v>5</v>
      </c>
      <c r="I49" s="167"/>
      <c r="J49" s="295">
        <f t="shared" si="1"/>
        <v>15</v>
      </c>
      <c r="K49" s="267"/>
      <c r="L49" s="156"/>
      <c r="M49" s="141"/>
      <c r="N49" s="162"/>
      <c r="O49" s="163"/>
      <c r="P49" s="163"/>
      <c r="Q49" s="163"/>
      <c r="R49" s="163"/>
      <c r="S49" s="163"/>
      <c r="T49" s="163"/>
      <c r="U49" s="163"/>
      <c r="V49" s="163"/>
      <c r="W49" s="163"/>
      <c r="X49" s="165"/>
      <c r="Y49" s="224"/>
      <c r="Z49" s="224"/>
      <c r="AA49" s="224"/>
      <c r="AB49" s="290"/>
      <c r="AC49" s="290"/>
      <c r="AD49" s="290"/>
      <c r="AE49" s="290"/>
      <c r="AF49" s="290"/>
      <c r="AG49" s="290"/>
      <c r="AH49" s="290"/>
      <c r="AI49" s="290"/>
      <c r="AJ49" s="291"/>
    </row>
    <row r="50" spans="1:35" ht="15.75" customHeight="1" thickBot="1">
      <c r="A50" s="224"/>
      <c r="B50" s="151"/>
      <c r="C50" s="221">
        <f>Origine!E125</f>
        <v>0</v>
      </c>
      <c r="D50" s="307">
        <f>IF(C50=0,0,VLOOKUP(C50,comp2,2,TRUE))</f>
        <v>0</v>
      </c>
      <c r="E50" s="307"/>
      <c r="F50" s="222">
        <f>IF(C50=0,0,VLOOKUP(C50,comp2,3,TRUE))</f>
        <v>0</v>
      </c>
      <c r="G50" s="222">
        <f>IF(C50=0,0,VLOOKUP(C50,co,2,FALSE))</f>
        <v>0</v>
      </c>
      <c r="H50" s="223"/>
      <c r="I50" s="167"/>
      <c r="J50" s="295">
        <f t="shared" si="1"/>
        <v>0</v>
      </c>
      <c r="K50" s="267"/>
      <c r="L50" s="156"/>
      <c r="M50" s="141"/>
      <c r="N50" s="143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224"/>
      <c r="Z50" s="224"/>
      <c r="AA50" s="224"/>
      <c r="AB50" s="141"/>
      <c r="AC50" s="141"/>
      <c r="AD50" s="141"/>
      <c r="AE50" s="141"/>
      <c r="AF50" s="141"/>
      <c r="AG50" s="141"/>
      <c r="AH50" s="141"/>
      <c r="AI50" s="141"/>
    </row>
    <row r="51" spans="1:35" ht="15.75" customHeight="1" thickBot="1">
      <c r="A51" s="224"/>
      <c r="B51" s="151"/>
      <c r="C51" s="221">
        <f>Origine!E126</f>
        <v>0</v>
      </c>
      <c r="D51" s="307">
        <f>IF(C51=0,0,VLOOKUP(C51,comp2,2,TRUE))</f>
        <v>0</v>
      </c>
      <c r="E51" s="307"/>
      <c r="F51" s="222">
        <f>IF(C51=0,0,VLOOKUP(C51,comp2,3,TRUE))</f>
        <v>0</v>
      </c>
      <c r="G51" s="222">
        <f>IF(C51=0,0,VLOOKUP(C51,co,2,FALSE))</f>
        <v>0</v>
      </c>
      <c r="H51" s="223"/>
      <c r="I51" s="167"/>
      <c r="J51" s="295">
        <f t="shared" si="1"/>
        <v>0</v>
      </c>
      <c r="K51" s="267"/>
      <c r="L51" s="156"/>
      <c r="M51" s="141"/>
      <c r="N51" s="147"/>
      <c r="O51" s="148"/>
      <c r="P51" s="242" t="s">
        <v>677</v>
      </c>
      <c r="Q51" s="148"/>
      <c r="R51" s="148"/>
      <c r="S51" s="148"/>
      <c r="T51" s="148"/>
      <c r="U51" s="148"/>
      <c r="V51" s="148"/>
      <c r="W51" s="148"/>
      <c r="X51" s="150"/>
      <c r="Y51" s="224"/>
      <c r="Z51" s="224"/>
      <c r="AA51" s="224"/>
      <c r="AB51" s="141"/>
      <c r="AC51" s="141"/>
      <c r="AD51" s="141"/>
      <c r="AE51" s="141"/>
      <c r="AF51" s="141"/>
      <c r="AG51" s="141"/>
      <c r="AH51" s="141"/>
      <c r="AI51" s="141"/>
    </row>
    <row r="52" spans="1:35" ht="15.75" customHeight="1" thickBot="1">
      <c r="A52" s="224"/>
      <c r="B52" s="151"/>
      <c r="C52" s="221" t="str">
        <f>P9</f>
        <v>Esquive</v>
      </c>
      <c r="D52" s="307" t="str">
        <f>VLOOKUP(C52,comp2,2,TRUE)</f>
        <v>(adresse / psychisme)</v>
      </c>
      <c r="E52" s="307"/>
      <c r="F52" s="222">
        <f>VLOOKUP(C52,comp2,3,TRUE)</f>
        <v>7</v>
      </c>
      <c r="G52" s="222">
        <f>VLOOKUP(C52,co,2,FALSE)</f>
        <v>2</v>
      </c>
      <c r="H52" s="223">
        <v>3</v>
      </c>
      <c r="I52" s="167"/>
      <c r="J52" s="295">
        <f t="shared" si="1"/>
        <v>12</v>
      </c>
      <c r="K52" s="267"/>
      <c r="L52" s="156"/>
      <c r="M52" s="141"/>
      <c r="N52" s="151"/>
      <c r="O52" s="157" t="s">
        <v>678</v>
      </c>
      <c r="P52" s="168"/>
      <c r="Q52" s="168"/>
      <c r="R52" s="168"/>
      <c r="S52" s="168"/>
      <c r="T52" s="168"/>
      <c r="U52" s="168"/>
      <c r="V52" s="168"/>
      <c r="W52" s="158"/>
      <c r="X52" s="156"/>
      <c r="Y52" s="224"/>
      <c r="Z52" s="224"/>
      <c r="AA52" s="224"/>
      <c r="AB52" s="141"/>
      <c r="AC52" s="141"/>
      <c r="AD52" s="141"/>
      <c r="AE52" s="141"/>
      <c r="AF52" s="141"/>
      <c r="AG52" s="141"/>
      <c r="AH52" s="141"/>
      <c r="AI52" s="141"/>
    </row>
    <row r="53" spans="1:35" ht="15.75" customHeight="1" thickBot="1" thickTop="1">
      <c r="A53" s="224"/>
      <c r="B53" s="151"/>
      <c r="C53" s="221" t="str">
        <f>IF(P11="Artisanat",I42,P11)</f>
        <v>Charpente</v>
      </c>
      <c r="D53" s="307" t="str">
        <f>VLOOKUP(C53,comp2,2,TRUE)</f>
        <v>(psychisme x2)</v>
      </c>
      <c r="E53" s="307"/>
      <c r="F53" s="222">
        <f>VLOOKUP(C53,comp2,3,TRUE)</f>
        <v>8</v>
      </c>
      <c r="G53" s="222">
        <f>Q11</f>
        <v>4</v>
      </c>
      <c r="H53" s="223"/>
      <c r="I53" s="167"/>
      <c r="J53" s="295">
        <f t="shared" si="1"/>
        <v>12</v>
      </c>
      <c r="K53" s="267"/>
      <c r="L53" s="156"/>
      <c r="M53" s="141"/>
      <c r="N53" s="151"/>
      <c r="O53" s="270" t="str">
        <f>Origine!E145</f>
        <v>un bouclier moyen, un glaive et une sarisse.</v>
      </c>
      <c r="P53" s="275" t="s">
        <v>680</v>
      </c>
      <c r="Q53" s="276" t="s">
        <v>125</v>
      </c>
      <c r="R53" s="276" t="s">
        <v>4</v>
      </c>
      <c r="S53" s="276" t="s">
        <v>126</v>
      </c>
      <c r="T53" s="276" t="s">
        <v>127</v>
      </c>
      <c r="U53" s="276" t="s">
        <v>128</v>
      </c>
      <c r="V53" s="158"/>
      <c r="W53" s="158"/>
      <c r="X53" s="156"/>
      <c r="Y53" s="224"/>
      <c r="Z53" s="224"/>
      <c r="AA53" s="224"/>
      <c r="AB53" s="141"/>
      <c r="AC53" s="141"/>
      <c r="AD53" s="141"/>
      <c r="AE53" s="141"/>
      <c r="AF53" s="141"/>
      <c r="AG53" s="141"/>
      <c r="AH53" s="141"/>
      <c r="AI53" s="141"/>
    </row>
    <row r="54" spans="1:36" ht="15.75" customHeight="1" thickBot="1" thickTop="1">
      <c r="A54" s="224"/>
      <c r="B54" s="151"/>
      <c r="C54" s="221" t="str">
        <f>IF(P13="Artisanat",I42,IF(P13="Artisanat (2)",I43,P13))</f>
        <v>Convaincre</v>
      </c>
      <c r="D54" s="307" t="str">
        <f>VLOOKUP(C54,comp2,2,TRUE)</f>
        <v>(apparence / psychisme)</v>
      </c>
      <c r="E54" s="307"/>
      <c r="F54" s="222">
        <f>VLOOKUP(C54,comp2,3,TRUE)</f>
        <v>6</v>
      </c>
      <c r="G54" s="222">
        <f>Q13</f>
        <v>3</v>
      </c>
      <c r="H54" s="223">
        <v>3</v>
      </c>
      <c r="I54" s="167"/>
      <c r="J54" s="295">
        <f t="shared" si="1"/>
        <v>12</v>
      </c>
      <c r="K54" s="267"/>
      <c r="L54" s="156"/>
      <c r="M54" s="141"/>
      <c r="N54" s="151"/>
      <c r="O54" s="271"/>
      <c r="P54" s="281" t="str">
        <f>VLOOKUP(AJ54,armec,3)</f>
        <v>Bouclier Moyen</v>
      </c>
      <c r="Q54" s="281">
        <f>VLOOKUP(AJ54,armec,4)</f>
        <v>0</v>
      </c>
      <c r="R54" s="281">
        <f>VLOOKUP(AJ54,armec,5)</f>
        <v>5</v>
      </c>
      <c r="S54" s="281" t="str">
        <f>VLOOKUP(AJ54,armec,6)</f>
        <v>1D6+2</v>
      </c>
      <c r="T54" s="281">
        <f>VLOOKUP(AJ54,armec,7)</f>
        <v>18</v>
      </c>
      <c r="U54" s="281">
        <f>VLOOKUP(AJ54,armec,8)</f>
        <v>3.5</v>
      </c>
      <c r="V54" s="158"/>
      <c r="W54" s="158"/>
      <c r="X54" s="156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>
        <v>3</v>
      </c>
    </row>
    <row r="55" spans="1:36" ht="15.75" customHeight="1" thickBot="1" thickTop="1">
      <c r="A55" s="224"/>
      <c r="B55" s="151"/>
      <c r="C55" s="221" t="str">
        <f>IF(P15="Artisanat",I42,IF(P15="Artisanat (2)",I43,P15))</f>
        <v>Orientation</v>
      </c>
      <c r="D55" s="307" t="str">
        <f>VLOOKUP(C55,comp2,2,TRUE)</f>
        <v>(psychisme x2)</v>
      </c>
      <c r="E55" s="307"/>
      <c r="F55" s="222">
        <f>VLOOKUP(C55,comp2,3,TRUE)</f>
        <v>8</v>
      </c>
      <c r="G55" s="222">
        <f>Q15</f>
        <v>2</v>
      </c>
      <c r="H55" s="223"/>
      <c r="I55" s="167"/>
      <c r="J55" s="295">
        <f t="shared" si="1"/>
        <v>10</v>
      </c>
      <c r="K55" s="267"/>
      <c r="L55" s="156"/>
      <c r="M55" s="141"/>
      <c r="N55" s="151"/>
      <c r="O55" s="271"/>
      <c r="P55" s="281" t="str">
        <f>VLOOKUP(AJ55,armec,3)</f>
        <v>Epée lourde</v>
      </c>
      <c r="Q55" s="281">
        <f>VLOOKUP(AJ55,armec,4)</f>
        <v>2</v>
      </c>
      <c r="R55" s="281">
        <f>VLOOKUP(AJ55,armec,5)</f>
        <v>14</v>
      </c>
      <c r="S55" s="281" t="str">
        <f>VLOOKUP(AJ55,armec,6)</f>
        <v>4D6</v>
      </c>
      <c r="T55" s="281">
        <f>VLOOKUP(AJ55,armec,7)</f>
        <v>16</v>
      </c>
      <c r="U55" s="281">
        <f>VLOOKUP(AJ55,armec,8)</f>
        <v>3</v>
      </c>
      <c r="V55" s="158"/>
      <c r="W55" s="158"/>
      <c r="X55" s="156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>
        <v>7</v>
      </c>
    </row>
    <row r="56" spans="1:36" ht="15.75" customHeight="1" thickBot="1" thickTop="1">
      <c r="A56" s="224"/>
      <c r="B56" s="151"/>
      <c r="C56" s="214"/>
      <c r="D56" s="303"/>
      <c r="E56" s="303"/>
      <c r="F56" s="167"/>
      <c r="G56" s="167"/>
      <c r="H56" s="167"/>
      <c r="I56" s="167"/>
      <c r="J56" s="214"/>
      <c r="K56" s="214"/>
      <c r="L56" s="156"/>
      <c r="M56" s="141"/>
      <c r="N56" s="151"/>
      <c r="O56" s="271"/>
      <c r="P56" s="281" t="str">
        <f>VLOOKUP(AJ56,armec,3)</f>
        <v>Masse lourde</v>
      </c>
      <c r="Q56" s="281">
        <f>VLOOKUP(AJ56,armec,4)</f>
        <v>2</v>
      </c>
      <c r="R56" s="281">
        <f>VLOOKUP(AJ56,armec,5)</f>
        <v>8</v>
      </c>
      <c r="S56" s="281" t="str">
        <f>VLOOKUP(AJ56,armec,6)</f>
        <v>3D6</v>
      </c>
      <c r="T56" s="281">
        <f>VLOOKUP(AJ56,armec,7)</f>
        <v>12</v>
      </c>
      <c r="U56" s="281">
        <f>VLOOKUP(AJ56,armec,8)</f>
        <v>2.5</v>
      </c>
      <c r="V56" s="158"/>
      <c r="W56" s="158"/>
      <c r="X56" s="156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>
        <v>24</v>
      </c>
    </row>
    <row r="57" spans="1:36" ht="15.75" customHeight="1" thickBot="1" thickTop="1">
      <c r="A57" s="224"/>
      <c r="B57" s="151"/>
      <c r="C57" s="220" t="s">
        <v>670</v>
      </c>
      <c r="D57" s="166"/>
      <c r="E57" s="166"/>
      <c r="F57" s="167"/>
      <c r="G57" s="167"/>
      <c r="H57" s="167"/>
      <c r="I57" s="167"/>
      <c r="J57" s="214"/>
      <c r="K57" s="214"/>
      <c r="L57" s="156"/>
      <c r="M57" s="141"/>
      <c r="N57" s="151"/>
      <c r="O57" s="272"/>
      <c r="P57" s="281" t="str">
        <f>VLOOKUP(AJ57,armec,3)</f>
        <v>Aucune</v>
      </c>
      <c r="Q57" s="281" t="str">
        <f>VLOOKUP(AJ57,armec,4)</f>
        <v>---</v>
      </c>
      <c r="R57" s="281" t="str">
        <f>VLOOKUP(AJ57,armec,5)</f>
        <v>---</v>
      </c>
      <c r="S57" s="281" t="str">
        <f>VLOOKUP(AJ57,armec,6)</f>
        <v>---</v>
      </c>
      <c r="T57" s="281" t="str">
        <f>VLOOKUP(AJ57,armec,7)</f>
        <v>---</v>
      </c>
      <c r="U57" s="281">
        <f>VLOOKUP(AJ57,armec,8)</f>
        <v>0</v>
      </c>
      <c r="V57" s="158"/>
      <c r="W57" s="158"/>
      <c r="X57" s="156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>
        <v>36</v>
      </c>
    </row>
    <row r="58" spans="1:35" ht="18" customHeight="1" thickBot="1" thickTop="1">
      <c r="A58" s="224"/>
      <c r="B58" s="151"/>
      <c r="C58" s="214" t="s">
        <v>638</v>
      </c>
      <c r="D58" s="303" t="s">
        <v>640</v>
      </c>
      <c r="E58" s="303"/>
      <c r="F58" s="167" t="s">
        <v>641</v>
      </c>
      <c r="G58" s="167" t="s">
        <v>642</v>
      </c>
      <c r="H58" s="166" t="s">
        <v>644</v>
      </c>
      <c r="I58" s="166"/>
      <c r="J58" s="297" t="s">
        <v>645</v>
      </c>
      <c r="K58" s="297"/>
      <c r="L58" s="156"/>
      <c r="M58" s="141"/>
      <c r="N58" s="151"/>
      <c r="O58" s="157" t="s">
        <v>695</v>
      </c>
      <c r="P58" s="158"/>
      <c r="Q58" s="158"/>
      <c r="R58" s="158"/>
      <c r="S58" s="158"/>
      <c r="T58" s="158"/>
      <c r="U58" s="158"/>
      <c r="V58" s="158"/>
      <c r="W58" s="278"/>
      <c r="X58" s="156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</row>
    <row r="59" spans="1:36" ht="17.25" customHeight="1" thickBot="1" thickTop="1">
      <c r="A59" s="224">
        <v>49</v>
      </c>
      <c r="B59" s="151"/>
      <c r="C59" s="214" t="str">
        <f>VLOOKUP(A59,comp,2)</f>
        <v>Lutte</v>
      </c>
      <c r="D59" s="307" t="str">
        <f>VLOOKUP(A59,comp,3,TRUE)</f>
        <v> (adresse / force)</v>
      </c>
      <c r="E59" s="307"/>
      <c r="F59" s="222">
        <f>VLOOKUP(A59,comp,4,TRUE)</f>
        <v>7</v>
      </c>
      <c r="G59" s="228" t="s">
        <v>648</v>
      </c>
      <c r="H59" s="223">
        <v>3</v>
      </c>
      <c r="I59" s="167"/>
      <c r="J59" s="295">
        <f>SUM(F59+H59)</f>
        <v>10</v>
      </c>
      <c r="K59" s="267"/>
      <c r="L59" s="156"/>
      <c r="M59" s="141"/>
      <c r="N59" s="151"/>
      <c r="O59" s="273">
        <f>Origine!E149</f>
        <v>0</v>
      </c>
      <c r="P59" s="288" t="s">
        <v>679</v>
      </c>
      <c r="Q59" s="279" t="s">
        <v>4</v>
      </c>
      <c r="R59" s="279" t="s">
        <v>128</v>
      </c>
      <c r="S59" s="282" t="s">
        <v>398</v>
      </c>
      <c r="T59" s="279" t="s">
        <v>683</v>
      </c>
      <c r="U59" s="279" t="s">
        <v>682</v>
      </c>
      <c r="V59" s="279" t="s">
        <v>126</v>
      </c>
      <c r="W59" s="158"/>
      <c r="X59" s="156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>
        <v>4</v>
      </c>
    </row>
    <row r="60" spans="1:36" ht="15.75" customHeight="1" thickBot="1" thickTop="1">
      <c r="A60" s="224">
        <v>80</v>
      </c>
      <c r="B60" s="151"/>
      <c r="C60" s="214" t="str">
        <f>VLOOKUP(A60,comp,2)</f>
        <v>Rien</v>
      </c>
      <c r="D60" s="307">
        <f>VLOOKUP(A60,comp,3,TRUE)</f>
        <v>0</v>
      </c>
      <c r="E60" s="307"/>
      <c r="F60" s="222">
        <f>VLOOKUP(A60,comp,4,TRUE)</f>
        <v>0</v>
      </c>
      <c r="G60" s="228" t="s">
        <v>648</v>
      </c>
      <c r="H60" s="223"/>
      <c r="I60" s="167"/>
      <c r="J60" s="295">
        <f>SUM(F60+H60)</f>
        <v>0</v>
      </c>
      <c r="K60" s="267"/>
      <c r="L60" s="156"/>
      <c r="M60" s="141"/>
      <c r="N60" s="151"/>
      <c r="O60" s="260"/>
      <c r="P60" s="277" t="str">
        <f>VLOOKUP(AJ59,armed,2)</f>
        <v>Fronde</v>
      </c>
      <c r="Q60" s="281">
        <f>VLOOKUP(AJ59,armed,3)</f>
        <v>4</v>
      </c>
      <c r="R60" s="281">
        <f>VLOOKUP(AJ59,armed,9)</f>
        <v>0.5</v>
      </c>
      <c r="S60" s="281" t="str">
        <f>VLOOKUP(AJ59,armed,6)</f>
        <v>1/1 tour</v>
      </c>
      <c r="T60" s="281" t="str">
        <f>VLOOKUP(AJ59,armed,7)</f>
        <v>40/150</v>
      </c>
      <c r="U60" s="281">
        <f>VLOOKUP(AJ59,armed,5)</f>
        <v>4</v>
      </c>
      <c r="V60" s="281" t="str">
        <f>VLOOKUP(AJ59,armed,4)</f>
        <v>1D6+2</v>
      </c>
      <c r="W60" s="158"/>
      <c r="X60" s="156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>
        <v>12</v>
      </c>
    </row>
    <row r="61" spans="1:36" ht="15.75" customHeight="1" thickBot="1" thickTop="1">
      <c r="A61" s="224">
        <v>80</v>
      </c>
      <c r="B61" s="151"/>
      <c r="C61" s="214" t="str">
        <f>VLOOKUP(A61,comp,2)</f>
        <v>Rien</v>
      </c>
      <c r="D61" s="307">
        <f>VLOOKUP(A61,comp,3,TRUE)</f>
        <v>0</v>
      </c>
      <c r="E61" s="307"/>
      <c r="F61" s="222">
        <f>VLOOKUP(A61,comp,4,TRUE)</f>
        <v>0</v>
      </c>
      <c r="G61" s="228" t="s">
        <v>648</v>
      </c>
      <c r="H61" s="223"/>
      <c r="I61" s="167"/>
      <c r="J61" s="295">
        <f>SUM(F61+H61)</f>
        <v>0</v>
      </c>
      <c r="K61" s="267"/>
      <c r="L61" s="156"/>
      <c r="M61" s="141"/>
      <c r="N61" s="151"/>
      <c r="O61" s="260"/>
      <c r="P61" s="277" t="str">
        <f>VLOOKUP(AJ60,armed,2)</f>
        <v>Aucune</v>
      </c>
      <c r="Q61" s="281" t="str">
        <f>VLOOKUP(AJ60,armed,3)</f>
        <v>---</v>
      </c>
      <c r="R61" s="281">
        <f>VLOOKUP(AJ60,armed,9)</f>
        <v>0</v>
      </c>
      <c r="S61" s="281" t="str">
        <f>VLOOKUP(AJ60,armed,6)</f>
        <v>---</v>
      </c>
      <c r="T61" s="281" t="str">
        <f>VLOOKUP(AJ60,armed,7)</f>
        <v>---</v>
      </c>
      <c r="U61" s="281" t="str">
        <f>VLOOKUP(AJ60,armed,5)</f>
        <v>---</v>
      </c>
      <c r="V61" s="281" t="str">
        <f>VLOOKUP(AJ60,armed,4)</f>
        <v>---</v>
      </c>
      <c r="W61" s="158"/>
      <c r="X61" s="156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>
        <v>12</v>
      </c>
    </row>
    <row r="62" spans="1:35" ht="15.75" customHeight="1" thickBot="1" thickTop="1">
      <c r="A62" s="224">
        <v>80</v>
      </c>
      <c r="B62" s="151"/>
      <c r="C62" s="214" t="str">
        <f>VLOOKUP(A62,comp,2)</f>
        <v>Rien</v>
      </c>
      <c r="D62" s="307">
        <f>VLOOKUP(A62,comp,3,TRUE)</f>
        <v>0</v>
      </c>
      <c r="E62" s="307"/>
      <c r="F62" s="222">
        <f>VLOOKUP(A62,comp,4,TRUE)</f>
        <v>0</v>
      </c>
      <c r="G62" s="228" t="s">
        <v>648</v>
      </c>
      <c r="H62" s="223"/>
      <c r="I62" s="167"/>
      <c r="J62" s="295">
        <f>SUM(F62+H62)</f>
        <v>0</v>
      </c>
      <c r="K62" s="267"/>
      <c r="L62" s="156"/>
      <c r="M62" s="141"/>
      <c r="N62" s="151"/>
      <c r="O62" s="260"/>
      <c r="P62" s="277" t="str">
        <f>VLOOKUP(AJ61,armed,2)</f>
        <v>Aucune</v>
      </c>
      <c r="Q62" s="281" t="str">
        <f>VLOOKUP(AJ61,armed,3)</f>
        <v>---</v>
      </c>
      <c r="R62" s="281">
        <f>VLOOKUP(AJ61,armed,9)</f>
        <v>0</v>
      </c>
      <c r="S62" s="281" t="str">
        <f>VLOOKUP(AJ61,armed,6)</f>
        <v>---</v>
      </c>
      <c r="T62" s="281" t="str">
        <f>VLOOKUP(AJ61,armed,7)</f>
        <v>---</v>
      </c>
      <c r="U62" s="281" t="str">
        <f>VLOOKUP(AJ61,armed,5)</f>
        <v>---</v>
      </c>
      <c r="V62" s="281" t="str">
        <f>VLOOKUP(AJ61,armed,4)</f>
        <v>---</v>
      </c>
      <c r="W62" s="158"/>
      <c r="X62" s="156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</row>
    <row r="63" spans="1:35" ht="15.75" customHeight="1" thickBot="1">
      <c r="A63" s="224">
        <v>80</v>
      </c>
      <c r="B63" s="151"/>
      <c r="C63" s="214" t="str">
        <f>VLOOKUP(A63,comp,2)</f>
        <v>Rien</v>
      </c>
      <c r="D63" s="307">
        <f>VLOOKUP(A63,comp,3,TRUE)</f>
        <v>0</v>
      </c>
      <c r="E63" s="307"/>
      <c r="F63" s="222">
        <f>VLOOKUP(A63,comp,4,TRUE)</f>
        <v>0</v>
      </c>
      <c r="G63" s="228" t="s">
        <v>648</v>
      </c>
      <c r="H63" s="223"/>
      <c r="I63" s="167"/>
      <c r="J63" s="295">
        <f>SUM(F63+H63)</f>
        <v>0</v>
      </c>
      <c r="K63" s="267"/>
      <c r="L63" s="156"/>
      <c r="M63" s="141"/>
      <c r="N63" s="151"/>
      <c r="O63" s="296"/>
      <c r="P63" s="158"/>
      <c r="Q63" s="158"/>
      <c r="R63" s="158"/>
      <c r="S63" s="158"/>
      <c r="T63" s="158"/>
      <c r="U63" s="158"/>
      <c r="V63" s="158"/>
      <c r="W63" s="158"/>
      <c r="X63" s="156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</row>
    <row r="64" spans="1:35" ht="15.75" customHeight="1" thickBot="1">
      <c r="A64" s="224"/>
      <c r="B64" s="162"/>
      <c r="C64" s="163"/>
      <c r="D64" s="164"/>
      <c r="E64" s="164"/>
      <c r="F64" s="164"/>
      <c r="G64" s="164"/>
      <c r="H64" s="206"/>
      <c r="I64" s="164"/>
      <c r="J64" s="163"/>
      <c r="K64" s="163"/>
      <c r="L64" s="165"/>
      <c r="M64" s="141"/>
      <c r="N64" s="162"/>
      <c r="O64" s="163"/>
      <c r="P64" s="163"/>
      <c r="Q64" s="163"/>
      <c r="R64" s="163"/>
      <c r="S64" s="163"/>
      <c r="T64" s="163"/>
      <c r="U64" s="163"/>
      <c r="V64" s="163"/>
      <c r="W64" s="163"/>
      <c r="X64" s="165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</row>
    <row r="65" spans="1:35" ht="15.75" customHeight="1">
      <c r="A65" s="224"/>
      <c r="B65" s="141"/>
      <c r="C65" s="141" t="str">
        <f>Origine!E140</f>
        <v> </v>
      </c>
      <c r="D65" s="142"/>
      <c r="E65" s="142"/>
      <c r="F65" s="142"/>
      <c r="G65" s="142"/>
      <c r="H65" s="201"/>
      <c r="I65" s="142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</row>
    <row r="66" spans="1:35" ht="15.75" customHeight="1">
      <c r="A66" s="224"/>
      <c r="B66" s="141"/>
      <c r="C66" s="141"/>
      <c r="D66" s="142"/>
      <c r="E66" s="142"/>
      <c r="F66" s="142"/>
      <c r="G66" s="142"/>
      <c r="H66" s="201"/>
      <c r="I66" s="142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</row>
    <row r="67" spans="1:35" ht="15.75" customHeight="1">
      <c r="A67" s="224"/>
      <c r="B67" s="141"/>
      <c r="C67" s="141"/>
      <c r="D67" s="142"/>
      <c r="E67" s="142"/>
      <c r="F67" s="142"/>
      <c r="G67" s="142"/>
      <c r="H67" s="201"/>
      <c r="I67" s="142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</row>
    <row r="68" spans="1:35" ht="15.75" customHeight="1">
      <c r="A68" s="224"/>
      <c r="B68" s="141"/>
      <c r="C68" s="141"/>
      <c r="D68" s="142"/>
      <c r="E68" s="142"/>
      <c r="F68" s="142"/>
      <c r="G68" s="142"/>
      <c r="H68" s="201"/>
      <c r="I68" s="142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</row>
    <row r="69" spans="1:35" ht="15.75" customHeight="1">
      <c r="A69" s="224"/>
      <c r="B69" s="141"/>
      <c r="C69" s="141"/>
      <c r="D69" s="142"/>
      <c r="E69" s="142"/>
      <c r="F69" s="142"/>
      <c r="G69" s="142"/>
      <c r="H69" s="201"/>
      <c r="I69" s="142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</row>
    <row r="70" spans="1:35" ht="15.75" customHeight="1">
      <c r="A70" s="224"/>
      <c r="B70" s="141"/>
      <c r="C70" s="141"/>
      <c r="D70" s="142"/>
      <c r="E70" s="142"/>
      <c r="F70" s="142"/>
      <c r="G70" s="142"/>
      <c r="H70" s="201"/>
      <c r="I70" s="142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</row>
    <row r="71" spans="1:35" ht="15.75" customHeight="1">
      <c r="A71" s="224"/>
      <c r="B71" s="141"/>
      <c r="C71" s="141"/>
      <c r="D71" s="142"/>
      <c r="E71" s="142"/>
      <c r="F71" s="142"/>
      <c r="G71" s="142"/>
      <c r="H71" s="201"/>
      <c r="I71" s="142"/>
      <c r="J71" s="141"/>
      <c r="K71" s="141"/>
      <c r="L71" s="141"/>
      <c r="M71" s="141"/>
      <c r="N71" s="53"/>
      <c r="O71" s="53"/>
      <c r="P71" s="53"/>
      <c r="Q71" s="53"/>
      <c r="R71" s="53"/>
      <c r="S71" s="53"/>
      <c r="T71" s="53"/>
      <c r="U71" s="53"/>
      <c r="V71" s="53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</row>
    <row r="72" spans="1:22" s="141" customFormat="1" ht="15.75" customHeight="1">
      <c r="A72" s="224"/>
      <c r="D72" s="142"/>
      <c r="E72" s="142"/>
      <c r="F72" s="142"/>
      <c r="G72" s="142"/>
      <c r="H72" s="201"/>
      <c r="I72" s="142"/>
      <c r="N72" s="144"/>
      <c r="O72" s="326"/>
      <c r="P72" s="326"/>
      <c r="Q72" s="326"/>
      <c r="R72" s="326"/>
      <c r="S72" s="326"/>
      <c r="T72" s="326"/>
      <c r="U72" s="326"/>
      <c r="V72" s="144"/>
    </row>
    <row r="73" spans="1:22" s="141" customFormat="1" ht="15.75" customHeight="1">
      <c r="A73" s="224"/>
      <c r="D73" s="142"/>
      <c r="E73" s="142"/>
      <c r="F73" s="142"/>
      <c r="G73" s="142"/>
      <c r="H73" s="201"/>
      <c r="I73" s="142"/>
      <c r="N73" s="144"/>
      <c r="O73" s="144"/>
      <c r="P73" s="145"/>
      <c r="Q73" s="144"/>
      <c r="R73" s="144"/>
      <c r="S73" s="145"/>
      <c r="T73" s="144"/>
      <c r="U73" s="144"/>
      <c r="V73" s="144"/>
    </row>
    <row r="74" spans="1:19" s="141" customFormat="1" ht="15.75" customHeight="1">
      <c r="A74" s="224"/>
      <c r="D74" s="142"/>
      <c r="E74" s="142"/>
      <c r="F74" s="142"/>
      <c r="G74" s="142"/>
      <c r="H74" s="201"/>
      <c r="I74" s="142"/>
      <c r="P74" s="142"/>
      <c r="S74" s="142"/>
    </row>
    <row r="75" spans="14:24" ht="15.75" customHeight="1">
      <c r="N75" s="53"/>
      <c r="O75" s="274"/>
      <c r="P75" s="274"/>
      <c r="Q75" s="274"/>
      <c r="R75" s="274"/>
      <c r="S75" s="274"/>
      <c r="T75" s="274"/>
      <c r="U75" s="274"/>
      <c r="V75" s="274"/>
      <c r="W75" s="53"/>
      <c r="X75" s="53"/>
    </row>
    <row r="76" spans="14:24" ht="15.75" customHeight="1"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</row>
  </sheetData>
  <mergeCells count="68">
    <mergeCell ref="R35:T35"/>
    <mergeCell ref="R38:T38"/>
    <mergeCell ref="R48:S48"/>
    <mergeCell ref="V28:W35"/>
    <mergeCell ref="R36:S36"/>
    <mergeCell ref="R39:S39"/>
    <mergeCell ref="R42:S42"/>
    <mergeCell ref="R28:T28"/>
    <mergeCell ref="R30:S30"/>
    <mergeCell ref="R33:S33"/>
    <mergeCell ref="R29:T29"/>
    <mergeCell ref="R32:T32"/>
    <mergeCell ref="D63:E63"/>
    <mergeCell ref="J48:K48"/>
    <mergeCell ref="J49:K49"/>
    <mergeCell ref="J50:K50"/>
    <mergeCell ref="J51:K51"/>
    <mergeCell ref="J52:K52"/>
    <mergeCell ref="J53:K53"/>
    <mergeCell ref="J54:K54"/>
    <mergeCell ref="D62:E62"/>
    <mergeCell ref="D55:E55"/>
    <mergeCell ref="D56:E56"/>
    <mergeCell ref="D58:E58"/>
    <mergeCell ref="D59:E59"/>
    <mergeCell ref="D60:E60"/>
    <mergeCell ref="D61:E61"/>
    <mergeCell ref="D51:E51"/>
    <mergeCell ref="D52:E52"/>
    <mergeCell ref="D53:E53"/>
    <mergeCell ref="D54:E54"/>
    <mergeCell ref="D47:E47"/>
    <mergeCell ref="D48:E48"/>
    <mergeCell ref="D49:E49"/>
    <mergeCell ref="D50:E50"/>
    <mergeCell ref="D46:E46"/>
    <mergeCell ref="J46:K46"/>
    <mergeCell ref="D29:E29"/>
    <mergeCell ref="D30:E30"/>
    <mergeCell ref="J35:K35"/>
    <mergeCell ref="J29:K29"/>
    <mergeCell ref="J30:K30"/>
    <mergeCell ref="J32:K32"/>
    <mergeCell ref="D3:E3"/>
    <mergeCell ref="D7:E7"/>
    <mergeCell ref="D9:E9"/>
    <mergeCell ref="D27:E27"/>
    <mergeCell ref="D35:E35"/>
    <mergeCell ref="D32:E32"/>
    <mergeCell ref="J31:L31"/>
    <mergeCell ref="D28:E28"/>
    <mergeCell ref="J28:K28"/>
    <mergeCell ref="J59:K59"/>
    <mergeCell ref="J60:K60"/>
    <mergeCell ref="J61:K61"/>
    <mergeCell ref="O2:P2"/>
    <mergeCell ref="J27:K27"/>
    <mergeCell ref="J55:K55"/>
    <mergeCell ref="R41:T41"/>
    <mergeCell ref="R44:T44"/>
    <mergeCell ref="R47:T47"/>
    <mergeCell ref="J62:K62"/>
    <mergeCell ref="J47:K47"/>
    <mergeCell ref="R45:S45"/>
    <mergeCell ref="O53:O57"/>
    <mergeCell ref="O59:O63"/>
    <mergeCell ref="J63:K63"/>
    <mergeCell ref="J58:K58"/>
  </mergeCells>
  <conditionalFormatting sqref="U9:V11 D35:F35 D59:F63 F41 C47:G55">
    <cfRule type="cellIs" priority="1" dxfId="0" operator="equal" stopIfTrue="1">
      <formula>0</formula>
    </cfRule>
  </conditionalFormatting>
  <conditionalFormatting sqref="H11">
    <cfRule type="cellIs" priority="2" dxfId="1" operator="lessThan" stopIfTrue="1">
      <formula>0</formula>
    </cfRule>
  </conditionalFormatting>
  <conditionalFormatting sqref="J28:K45 J64:K68 L28:L68">
    <cfRule type="cellIs" priority="3" dxfId="2" operator="greaterThan" stopIfTrue="1">
      <formula>20</formula>
    </cfRule>
  </conditionalFormatting>
  <conditionalFormatting sqref="J47:K57 J59:K63">
    <cfRule type="cellIs" priority="4" dxfId="2" operator="greaterThan" stopIfTrue="1">
      <formula>20</formula>
    </cfRule>
    <cfRule type="cellIs" priority="5" dxfId="3" operator="equal" stopIfTrue="1">
      <formula>0</formula>
    </cfRule>
  </conditionalFormatting>
  <conditionalFormatting sqref="O59:O63">
    <cfRule type="cellIs" priority="6" dxfId="3" operator="equal" stopIfTrue="1">
      <formula>0</formula>
    </cfRule>
  </conditionalFormatting>
  <conditionalFormatting sqref="N23">
    <cfRule type="cellIs" priority="7" dxfId="2" operator="lessThan" stopIfTrue="1">
      <formula>0</formula>
    </cfRule>
  </conditionalFormatting>
  <conditionalFormatting sqref="D14:D20">
    <cfRule type="cellIs" priority="8" dxfId="2" operator="notBetween" stopIfTrue="1">
      <formula>2</formula>
      <formula>12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8"/>
  <sheetViews>
    <sheetView zoomScale="80" zoomScaleNormal="80" workbookViewId="0" topLeftCell="A103">
      <selection activeCell="E124" sqref="E124"/>
    </sheetView>
  </sheetViews>
  <sheetFormatPr defaultColWidth="11.421875" defaultRowHeight="12.75"/>
  <cols>
    <col min="1" max="1" width="11.421875" style="45" customWidth="1"/>
    <col min="2" max="2" width="9.28125" style="45" customWidth="1"/>
    <col min="3" max="3" width="3.421875" style="45" customWidth="1"/>
    <col min="4" max="4" width="72.7109375" style="2" customWidth="1"/>
    <col min="5" max="5" width="26.00390625" style="86" customWidth="1"/>
    <col min="6" max="16" width="26.00390625" style="74" customWidth="1"/>
    <col min="17" max="17" width="26.00390625" style="45" customWidth="1"/>
    <col min="18" max="19" width="26.00390625" style="74" customWidth="1"/>
    <col min="20" max="22" width="26.00390625" style="45" customWidth="1"/>
    <col min="23" max="30" width="26.00390625" style="74" customWidth="1"/>
    <col min="31" max="36" width="26.00390625" style="45" customWidth="1"/>
    <col min="37" max="16384" width="11.421875" style="45" customWidth="1"/>
  </cols>
  <sheetData>
    <row r="1" spans="17:25" ht="13.5" thickBot="1">
      <c r="Q1" s="74"/>
      <c r="Y1" s="98" t="s">
        <v>606</v>
      </c>
    </row>
    <row r="2" spans="1:36" s="70" customFormat="1" ht="32.25" thickBot="1">
      <c r="A2" s="73"/>
      <c r="B2" s="102"/>
      <c r="C2" s="102"/>
      <c r="D2" s="106" t="s">
        <v>19</v>
      </c>
      <c r="E2" s="87" t="s">
        <v>493</v>
      </c>
      <c r="F2" s="88" t="s">
        <v>36</v>
      </c>
      <c r="G2" s="87" t="s">
        <v>38</v>
      </c>
      <c r="H2" s="87" t="s">
        <v>40</v>
      </c>
      <c r="I2" s="87" t="s">
        <v>42</v>
      </c>
      <c r="J2" s="87" t="s">
        <v>44</v>
      </c>
      <c r="K2" s="87" t="s">
        <v>45</v>
      </c>
      <c r="L2" s="87" t="s">
        <v>47</v>
      </c>
      <c r="M2" s="87" t="s">
        <v>49</v>
      </c>
      <c r="N2" s="75" t="s">
        <v>491</v>
      </c>
      <c r="O2" s="75" t="s">
        <v>27</v>
      </c>
      <c r="P2" s="75" t="s">
        <v>29</v>
      </c>
      <c r="Q2" s="75" t="s">
        <v>492</v>
      </c>
      <c r="R2" s="75" t="s">
        <v>51</v>
      </c>
      <c r="S2" s="75" t="s">
        <v>52</v>
      </c>
      <c r="T2" s="75" t="s">
        <v>53</v>
      </c>
      <c r="U2" s="75" t="s">
        <v>54</v>
      </c>
      <c r="V2" s="75" t="s">
        <v>55</v>
      </c>
      <c r="W2" s="75" t="s">
        <v>58</v>
      </c>
      <c r="X2" s="75" t="s">
        <v>60</v>
      </c>
      <c r="Y2" s="75" t="s">
        <v>62</v>
      </c>
      <c r="Z2" s="75" t="s">
        <v>65</v>
      </c>
      <c r="AA2" s="75" t="s">
        <v>67</v>
      </c>
      <c r="AB2" s="75" t="s">
        <v>68</v>
      </c>
      <c r="AC2" s="75" t="s">
        <v>70</v>
      </c>
      <c r="AD2" s="75" t="s">
        <v>71</v>
      </c>
      <c r="AE2" s="75" t="s">
        <v>620</v>
      </c>
      <c r="AF2" s="73"/>
      <c r="AG2" s="73"/>
      <c r="AH2" s="73"/>
      <c r="AI2" s="73"/>
      <c r="AJ2" s="72"/>
    </row>
    <row r="3" spans="2:35" ht="12.75">
      <c r="B3" s="102">
        <v>1</v>
      </c>
      <c r="C3" s="102">
        <v>5</v>
      </c>
      <c r="D3" s="50" t="s">
        <v>625</v>
      </c>
      <c r="E3" s="76" t="s">
        <v>532</v>
      </c>
      <c r="F3" s="76" t="s">
        <v>532</v>
      </c>
      <c r="G3" s="76" t="s">
        <v>532</v>
      </c>
      <c r="H3" s="76" t="s">
        <v>532</v>
      </c>
      <c r="I3" s="76" t="s">
        <v>532</v>
      </c>
      <c r="J3" s="76" t="s">
        <v>532</v>
      </c>
      <c r="K3" s="76" t="s">
        <v>532</v>
      </c>
      <c r="L3" s="76" t="s">
        <v>532</v>
      </c>
      <c r="M3" s="76" t="s">
        <v>532</v>
      </c>
      <c r="N3" s="76" t="s">
        <v>581</v>
      </c>
      <c r="O3" s="76" t="s">
        <v>581</v>
      </c>
      <c r="P3" s="76" t="s">
        <v>581</v>
      </c>
      <c r="Q3" s="76" t="s">
        <v>581</v>
      </c>
      <c r="R3" s="76" t="s">
        <v>532</v>
      </c>
      <c r="S3" s="76" t="s">
        <v>532</v>
      </c>
      <c r="T3" s="76" t="s">
        <v>532</v>
      </c>
      <c r="U3" s="76" t="s">
        <v>532</v>
      </c>
      <c r="V3" s="76" t="s">
        <v>532</v>
      </c>
      <c r="W3" s="76" t="s">
        <v>532</v>
      </c>
      <c r="X3" s="76" t="s">
        <v>532</v>
      </c>
      <c r="Y3" s="76" t="s">
        <v>532</v>
      </c>
      <c r="Z3" s="76" t="s">
        <v>532</v>
      </c>
      <c r="AA3" s="76" t="s">
        <v>532</v>
      </c>
      <c r="AB3" s="76" t="s">
        <v>532</v>
      </c>
      <c r="AC3" s="76" t="s">
        <v>532</v>
      </c>
      <c r="AD3" s="76" t="s">
        <v>532</v>
      </c>
      <c r="AE3" s="76"/>
      <c r="AF3" s="68"/>
      <c r="AG3" s="68"/>
      <c r="AH3" s="68"/>
      <c r="AI3" s="68"/>
    </row>
    <row r="4" spans="2:35" ht="12.75">
      <c r="B4" s="102">
        <v>2</v>
      </c>
      <c r="C4" s="102">
        <v>4</v>
      </c>
      <c r="D4" s="50" t="s">
        <v>626</v>
      </c>
      <c r="E4" s="77" t="s">
        <v>536</v>
      </c>
      <c r="F4" s="77" t="s">
        <v>536</v>
      </c>
      <c r="G4" s="77" t="s">
        <v>536</v>
      </c>
      <c r="H4" s="77" t="s">
        <v>536</v>
      </c>
      <c r="I4" s="77" t="s">
        <v>536</v>
      </c>
      <c r="J4" s="77" t="s">
        <v>536</v>
      </c>
      <c r="K4" s="77" t="s">
        <v>536</v>
      </c>
      <c r="L4" s="77" t="s">
        <v>536</v>
      </c>
      <c r="M4" s="77" t="s">
        <v>536</v>
      </c>
      <c r="N4" s="77" t="s">
        <v>532</v>
      </c>
      <c r="O4" s="77" t="s">
        <v>532</v>
      </c>
      <c r="P4" s="77" t="s">
        <v>532</v>
      </c>
      <c r="Q4" s="77" t="s">
        <v>532</v>
      </c>
      <c r="R4" s="77" t="s">
        <v>536</v>
      </c>
      <c r="S4" s="77" t="s">
        <v>536</v>
      </c>
      <c r="T4" s="77" t="s">
        <v>536</v>
      </c>
      <c r="U4" s="77" t="s">
        <v>536</v>
      </c>
      <c r="V4" s="77" t="s">
        <v>536</v>
      </c>
      <c r="W4" s="77" t="s">
        <v>536</v>
      </c>
      <c r="X4" s="77" t="s">
        <v>536</v>
      </c>
      <c r="Y4" s="77" t="s">
        <v>533</v>
      </c>
      <c r="Z4" s="77" t="s">
        <v>536</v>
      </c>
      <c r="AA4" s="77" t="s">
        <v>536</v>
      </c>
      <c r="AB4" s="77" t="s">
        <v>536</v>
      </c>
      <c r="AC4" s="77" t="s">
        <v>536</v>
      </c>
      <c r="AD4" s="77" t="s">
        <v>536</v>
      </c>
      <c r="AE4" s="77" t="s">
        <v>536</v>
      </c>
      <c r="AF4" s="68"/>
      <c r="AG4" s="68"/>
      <c r="AH4" s="68"/>
      <c r="AI4" s="68"/>
    </row>
    <row r="5" spans="2:35" ht="12.75">
      <c r="B5" s="102">
        <v>3</v>
      </c>
      <c r="C5" s="102">
        <v>5</v>
      </c>
      <c r="D5" s="50" t="s">
        <v>625</v>
      </c>
      <c r="E5" s="77" t="s">
        <v>547</v>
      </c>
      <c r="F5" s="77" t="s">
        <v>547</v>
      </c>
      <c r="G5" s="77" t="s">
        <v>547</v>
      </c>
      <c r="H5" s="77" t="s">
        <v>547</v>
      </c>
      <c r="I5" s="77" t="s">
        <v>547</v>
      </c>
      <c r="J5" s="77" t="s">
        <v>547</v>
      </c>
      <c r="K5" s="77" t="s">
        <v>547</v>
      </c>
      <c r="L5" s="77" t="s">
        <v>547</v>
      </c>
      <c r="M5" s="77" t="s">
        <v>547</v>
      </c>
      <c r="N5" s="77" t="s">
        <v>547</v>
      </c>
      <c r="O5" s="77" t="s">
        <v>547</v>
      </c>
      <c r="P5" s="77" t="s">
        <v>547</v>
      </c>
      <c r="Q5" s="77" t="s">
        <v>547</v>
      </c>
      <c r="R5" s="77" t="s">
        <v>547</v>
      </c>
      <c r="S5" s="77" t="s">
        <v>547</v>
      </c>
      <c r="T5" s="77" t="s">
        <v>547</v>
      </c>
      <c r="U5" s="77" t="s">
        <v>547</v>
      </c>
      <c r="V5" s="77" t="s">
        <v>547</v>
      </c>
      <c r="W5" s="77" t="s">
        <v>547</v>
      </c>
      <c r="X5" s="77" t="s">
        <v>547</v>
      </c>
      <c r="Y5" s="77" t="s">
        <v>547</v>
      </c>
      <c r="Z5" s="77" t="s">
        <v>547</v>
      </c>
      <c r="AA5" s="77" t="s">
        <v>547</v>
      </c>
      <c r="AB5" s="77" t="s">
        <v>547</v>
      </c>
      <c r="AC5" s="77" t="s">
        <v>547</v>
      </c>
      <c r="AD5" s="77" t="s">
        <v>547</v>
      </c>
      <c r="AE5" s="77"/>
      <c r="AF5" s="68"/>
      <c r="AG5" s="68"/>
      <c r="AH5" s="68"/>
      <c r="AI5" s="68"/>
    </row>
    <row r="6" spans="2:35" ht="12.75">
      <c r="B6" s="102">
        <v>4</v>
      </c>
      <c r="C6" s="102">
        <v>5</v>
      </c>
      <c r="D6" s="50" t="s">
        <v>625</v>
      </c>
      <c r="E6" s="77" t="s">
        <v>538</v>
      </c>
      <c r="F6" s="77" t="s">
        <v>538</v>
      </c>
      <c r="G6" s="77" t="s">
        <v>538</v>
      </c>
      <c r="H6" s="77" t="s">
        <v>538</v>
      </c>
      <c r="I6" s="77" t="s">
        <v>538</v>
      </c>
      <c r="J6" s="77" t="s">
        <v>538</v>
      </c>
      <c r="K6" s="77" t="s">
        <v>538</v>
      </c>
      <c r="L6" s="77" t="s">
        <v>538</v>
      </c>
      <c r="M6" s="77" t="s">
        <v>538</v>
      </c>
      <c r="N6" s="77"/>
      <c r="O6" s="77"/>
      <c r="P6" s="77"/>
      <c r="Q6" s="77"/>
      <c r="R6" s="77" t="s">
        <v>538</v>
      </c>
      <c r="S6" s="77" t="s">
        <v>538</v>
      </c>
      <c r="T6" s="77" t="s">
        <v>538</v>
      </c>
      <c r="U6" s="77" t="s">
        <v>538</v>
      </c>
      <c r="V6" s="77" t="s">
        <v>538</v>
      </c>
      <c r="W6" s="77" t="s">
        <v>538</v>
      </c>
      <c r="X6" s="77" t="s">
        <v>538</v>
      </c>
      <c r="Y6" s="99" t="s">
        <v>538</v>
      </c>
      <c r="Z6" s="77" t="s">
        <v>538</v>
      </c>
      <c r="AA6" s="77" t="s">
        <v>538</v>
      </c>
      <c r="AB6" s="77" t="s">
        <v>538</v>
      </c>
      <c r="AC6" s="77" t="s">
        <v>538</v>
      </c>
      <c r="AD6" s="77" t="s">
        <v>538</v>
      </c>
      <c r="AE6" s="77"/>
      <c r="AF6" s="68"/>
      <c r="AG6" s="68"/>
      <c r="AH6" s="68"/>
      <c r="AI6" s="68"/>
    </row>
    <row r="7" spans="2:35" ht="13.5" thickBot="1">
      <c r="B7" s="102">
        <v>5</v>
      </c>
      <c r="C7" s="102">
        <v>2</v>
      </c>
      <c r="D7" s="50" t="s">
        <v>627</v>
      </c>
      <c r="E7" s="78" t="s">
        <v>539</v>
      </c>
      <c r="F7" s="78" t="s">
        <v>539</v>
      </c>
      <c r="G7" s="78" t="s">
        <v>539</v>
      </c>
      <c r="H7" s="78" t="s">
        <v>539</v>
      </c>
      <c r="I7" s="78" t="s">
        <v>539</v>
      </c>
      <c r="J7" s="78" t="s">
        <v>539</v>
      </c>
      <c r="K7" s="78" t="s">
        <v>539</v>
      </c>
      <c r="L7" s="78" t="s">
        <v>539</v>
      </c>
      <c r="M7" s="78" t="s">
        <v>539</v>
      </c>
      <c r="N7" s="78"/>
      <c r="O7" s="78"/>
      <c r="P7" s="78"/>
      <c r="Q7" s="78"/>
      <c r="R7" s="78" t="s">
        <v>539</v>
      </c>
      <c r="S7" s="78" t="s">
        <v>539</v>
      </c>
      <c r="T7" s="78" t="s">
        <v>539</v>
      </c>
      <c r="U7" s="78" t="s">
        <v>539</v>
      </c>
      <c r="V7" s="78" t="s">
        <v>539</v>
      </c>
      <c r="W7" s="78" t="s">
        <v>539</v>
      </c>
      <c r="X7" s="78" t="s">
        <v>539</v>
      </c>
      <c r="Y7" s="78"/>
      <c r="Z7" s="78" t="s">
        <v>539</v>
      </c>
      <c r="AA7" s="78" t="s">
        <v>539</v>
      </c>
      <c r="AB7" s="78" t="s">
        <v>539</v>
      </c>
      <c r="AC7" s="78" t="s">
        <v>539</v>
      </c>
      <c r="AD7" s="78" t="s">
        <v>539</v>
      </c>
      <c r="AE7" s="78"/>
      <c r="AF7" s="68"/>
      <c r="AG7" s="68"/>
      <c r="AH7" s="68"/>
      <c r="AI7" s="68"/>
    </row>
    <row r="8" spans="2:35" ht="15">
      <c r="B8" s="102">
        <v>6</v>
      </c>
      <c r="C8" s="102">
        <v>2</v>
      </c>
      <c r="D8" s="112" t="s">
        <v>515</v>
      </c>
      <c r="E8" s="76" t="s">
        <v>373</v>
      </c>
      <c r="F8" s="76" t="s">
        <v>373</v>
      </c>
      <c r="G8" s="76" t="s">
        <v>373</v>
      </c>
      <c r="H8" s="76" t="s">
        <v>373</v>
      </c>
      <c r="I8" s="76" t="s">
        <v>373</v>
      </c>
      <c r="J8" s="76" t="s">
        <v>373</v>
      </c>
      <c r="K8" s="76" t="s">
        <v>373</v>
      </c>
      <c r="L8" s="76" t="s">
        <v>373</v>
      </c>
      <c r="M8" s="76" t="s">
        <v>373</v>
      </c>
      <c r="N8" s="76" t="s">
        <v>374</v>
      </c>
      <c r="O8" s="76" t="s">
        <v>374</v>
      </c>
      <c r="P8" s="76" t="s">
        <v>374</v>
      </c>
      <c r="Q8" s="76" t="s">
        <v>374</v>
      </c>
      <c r="R8" s="76" t="s">
        <v>373</v>
      </c>
      <c r="S8" s="76" t="s">
        <v>373</v>
      </c>
      <c r="T8" s="76" t="s">
        <v>373</v>
      </c>
      <c r="U8" s="76" t="s">
        <v>373</v>
      </c>
      <c r="V8" s="76" t="s">
        <v>373</v>
      </c>
      <c r="W8" s="76" t="s">
        <v>373</v>
      </c>
      <c r="X8" s="76" t="s">
        <v>373</v>
      </c>
      <c r="Y8" s="76" t="s">
        <v>341</v>
      </c>
      <c r="Z8" s="76" t="s">
        <v>373</v>
      </c>
      <c r="AA8" s="76" t="s">
        <v>373</v>
      </c>
      <c r="AB8" s="76" t="s">
        <v>373</v>
      </c>
      <c r="AC8" s="76" t="s">
        <v>373</v>
      </c>
      <c r="AD8" s="76" t="s">
        <v>373</v>
      </c>
      <c r="AE8" s="76" t="s">
        <v>374</v>
      </c>
      <c r="AF8" s="68"/>
      <c r="AG8" s="68"/>
      <c r="AH8" s="68"/>
      <c r="AI8" s="68"/>
    </row>
    <row r="9" spans="2:35" ht="15">
      <c r="B9" s="102">
        <v>7</v>
      </c>
      <c r="C9" s="102"/>
      <c r="D9" s="113"/>
      <c r="E9" s="77" t="s">
        <v>393</v>
      </c>
      <c r="F9" s="77" t="s">
        <v>393</v>
      </c>
      <c r="G9" s="77" t="s">
        <v>393</v>
      </c>
      <c r="H9" s="77"/>
      <c r="I9" s="77" t="s">
        <v>393</v>
      </c>
      <c r="J9" s="77" t="s">
        <v>393</v>
      </c>
      <c r="K9" s="77" t="s">
        <v>393</v>
      </c>
      <c r="L9" s="77" t="s">
        <v>393</v>
      </c>
      <c r="M9" s="77" t="s">
        <v>393</v>
      </c>
      <c r="N9" s="77" t="s">
        <v>577</v>
      </c>
      <c r="O9" s="77" t="s">
        <v>577</v>
      </c>
      <c r="P9" s="77" t="s">
        <v>133</v>
      </c>
      <c r="Q9" s="77" t="s">
        <v>577</v>
      </c>
      <c r="R9" s="77" t="s">
        <v>393</v>
      </c>
      <c r="S9" s="77" t="s">
        <v>393</v>
      </c>
      <c r="T9" s="77" t="s">
        <v>393</v>
      </c>
      <c r="U9" s="77" t="s">
        <v>393</v>
      </c>
      <c r="V9" s="77" t="s">
        <v>393</v>
      </c>
      <c r="W9" s="77" t="s">
        <v>393</v>
      </c>
      <c r="X9" s="77" t="s">
        <v>393</v>
      </c>
      <c r="Y9" s="77" t="s">
        <v>543</v>
      </c>
      <c r="Z9" s="77" t="s">
        <v>393</v>
      </c>
      <c r="AA9" s="77" t="s">
        <v>393</v>
      </c>
      <c r="AB9" s="77" t="s">
        <v>393</v>
      </c>
      <c r="AC9" s="77" t="s">
        <v>393</v>
      </c>
      <c r="AD9" s="77" t="s">
        <v>393</v>
      </c>
      <c r="AE9" s="77" t="s">
        <v>543</v>
      </c>
      <c r="AF9" s="68"/>
      <c r="AG9" s="68"/>
      <c r="AH9" s="68"/>
      <c r="AI9" s="68"/>
    </row>
    <row r="10" spans="2:35" ht="15.75" thickBot="1">
      <c r="B10" s="102">
        <v>8</v>
      </c>
      <c r="C10" s="102"/>
      <c r="D10" s="114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68"/>
      <c r="AG10" s="68"/>
      <c r="AH10" s="68"/>
      <c r="AI10" s="68"/>
    </row>
    <row r="11" spans="2:35" ht="15">
      <c r="B11" s="102">
        <v>9</v>
      </c>
      <c r="C11" s="102"/>
      <c r="D11" s="112" t="s">
        <v>516</v>
      </c>
      <c r="E11" s="76" t="s">
        <v>517</v>
      </c>
      <c r="F11" s="76" t="s">
        <v>381</v>
      </c>
      <c r="G11" s="76" t="s">
        <v>347</v>
      </c>
      <c r="H11" s="76" t="s">
        <v>392</v>
      </c>
      <c r="I11" s="76" t="s">
        <v>381</v>
      </c>
      <c r="J11" s="76" t="s">
        <v>520</v>
      </c>
      <c r="K11" s="76" t="s">
        <v>347</v>
      </c>
      <c r="L11" s="76" t="s">
        <v>520</v>
      </c>
      <c r="M11" s="76" t="s">
        <v>347</v>
      </c>
      <c r="N11" s="76" t="s">
        <v>538</v>
      </c>
      <c r="O11" s="76" t="s">
        <v>538</v>
      </c>
      <c r="P11" s="76" t="s">
        <v>538</v>
      </c>
      <c r="Q11" s="76" t="s">
        <v>538</v>
      </c>
      <c r="R11" s="76" t="s">
        <v>520</v>
      </c>
      <c r="S11" s="76" t="s">
        <v>392</v>
      </c>
      <c r="T11" s="76" t="s">
        <v>392</v>
      </c>
      <c r="U11" s="76" t="s">
        <v>392</v>
      </c>
      <c r="V11" s="76" t="s">
        <v>392</v>
      </c>
      <c r="W11" s="76" t="s">
        <v>520</v>
      </c>
      <c r="X11" s="76" t="s">
        <v>520</v>
      </c>
      <c r="Y11" s="76" t="s">
        <v>392</v>
      </c>
      <c r="Z11" s="76" t="s">
        <v>520</v>
      </c>
      <c r="AA11" s="76" t="s">
        <v>390</v>
      </c>
      <c r="AB11" s="76" t="s">
        <v>365</v>
      </c>
      <c r="AC11" s="76" t="s">
        <v>390</v>
      </c>
      <c r="AD11" s="76" t="s">
        <v>390</v>
      </c>
      <c r="AE11" s="76" t="s">
        <v>621</v>
      </c>
      <c r="AF11" s="68"/>
      <c r="AG11" s="68"/>
      <c r="AH11" s="68"/>
      <c r="AI11" s="68"/>
    </row>
    <row r="12" spans="2:35" ht="15">
      <c r="B12" s="102">
        <v>10</v>
      </c>
      <c r="C12" s="102"/>
      <c r="D12" s="113"/>
      <c r="E12" s="77" t="s">
        <v>389</v>
      </c>
      <c r="F12" s="77" t="s">
        <v>390</v>
      </c>
      <c r="G12" s="77" t="s">
        <v>390</v>
      </c>
      <c r="H12" s="77" t="s">
        <v>520</v>
      </c>
      <c r="I12" s="77" t="s">
        <v>390</v>
      </c>
      <c r="J12" s="77" t="s">
        <v>389</v>
      </c>
      <c r="K12" s="77" t="s">
        <v>390</v>
      </c>
      <c r="L12" s="77" t="s">
        <v>366</v>
      </c>
      <c r="M12" s="77" t="s">
        <v>390</v>
      </c>
      <c r="N12" s="77" t="s">
        <v>392</v>
      </c>
      <c r="O12" s="77" t="s">
        <v>392</v>
      </c>
      <c r="P12" s="77" t="s">
        <v>392</v>
      </c>
      <c r="Q12" s="77" t="s">
        <v>392</v>
      </c>
      <c r="R12" s="77" t="s">
        <v>392</v>
      </c>
      <c r="S12" s="77" t="s">
        <v>358</v>
      </c>
      <c r="T12" s="77" t="s">
        <v>358</v>
      </c>
      <c r="U12" s="77" t="s">
        <v>358</v>
      </c>
      <c r="V12" s="77" t="s">
        <v>358</v>
      </c>
      <c r="W12" s="77" t="s">
        <v>390</v>
      </c>
      <c r="X12" s="77" t="s">
        <v>392</v>
      </c>
      <c r="Y12" s="77" t="s">
        <v>365</v>
      </c>
      <c r="Z12" s="77" t="s">
        <v>392</v>
      </c>
      <c r="AA12" s="77" t="s">
        <v>366</v>
      </c>
      <c r="AB12" s="77" t="s">
        <v>347</v>
      </c>
      <c r="AC12" s="77" t="s">
        <v>347</v>
      </c>
      <c r="AD12" s="77" t="s">
        <v>347</v>
      </c>
      <c r="AE12" s="77" t="s">
        <v>344</v>
      </c>
      <c r="AF12" s="68"/>
      <c r="AG12" s="68"/>
      <c r="AH12" s="68"/>
      <c r="AI12" s="68"/>
    </row>
    <row r="13" spans="2:35" ht="15.75" thickBot="1">
      <c r="B13" s="102">
        <v>11</v>
      </c>
      <c r="C13" s="102"/>
      <c r="D13" s="114"/>
      <c r="E13" s="78" t="s">
        <v>358</v>
      </c>
      <c r="F13" s="78" t="s">
        <v>358</v>
      </c>
      <c r="G13" s="78" t="s">
        <v>358</v>
      </c>
      <c r="H13" s="78" t="s">
        <v>358</v>
      </c>
      <c r="I13" s="78" t="s">
        <v>358</v>
      </c>
      <c r="J13" s="78" t="s">
        <v>358</v>
      </c>
      <c r="K13" s="78" t="s">
        <v>378</v>
      </c>
      <c r="L13" s="78" t="s">
        <v>392</v>
      </c>
      <c r="M13" s="78" t="s">
        <v>358</v>
      </c>
      <c r="N13" s="78" t="s">
        <v>358</v>
      </c>
      <c r="O13" s="78" t="s">
        <v>358</v>
      </c>
      <c r="P13" s="78" t="s">
        <v>358</v>
      </c>
      <c r="Q13" s="78" t="s">
        <v>358</v>
      </c>
      <c r="R13" s="78" t="s">
        <v>358</v>
      </c>
      <c r="S13" s="78" t="s">
        <v>377</v>
      </c>
      <c r="T13" s="78" t="s">
        <v>377</v>
      </c>
      <c r="U13" s="78" t="s">
        <v>377</v>
      </c>
      <c r="V13" s="78" t="s">
        <v>377</v>
      </c>
      <c r="W13" s="78" t="s">
        <v>358</v>
      </c>
      <c r="X13" s="78" t="s">
        <v>358</v>
      </c>
      <c r="Y13" s="78" t="s">
        <v>358</v>
      </c>
      <c r="Z13" s="78" t="s">
        <v>358</v>
      </c>
      <c r="AA13" s="78" t="s">
        <v>347</v>
      </c>
      <c r="AB13" s="78" t="s">
        <v>390</v>
      </c>
      <c r="AC13" s="78" t="s">
        <v>358</v>
      </c>
      <c r="AD13" s="78" t="s">
        <v>358</v>
      </c>
      <c r="AE13" s="78" t="s">
        <v>360</v>
      </c>
      <c r="AF13" s="68"/>
      <c r="AG13" s="68"/>
      <c r="AH13" s="68"/>
      <c r="AI13" s="68"/>
    </row>
    <row r="14" spans="2:35" ht="15">
      <c r="B14" s="102">
        <v>12</v>
      </c>
      <c r="C14" s="102"/>
      <c r="D14" s="112" t="s">
        <v>519</v>
      </c>
      <c r="E14" s="76" t="s">
        <v>520</v>
      </c>
      <c r="F14" s="76" t="s">
        <v>380</v>
      </c>
      <c r="G14" s="76" t="s">
        <v>520</v>
      </c>
      <c r="H14" s="76" t="s">
        <v>347</v>
      </c>
      <c r="I14" s="76" t="s">
        <v>347</v>
      </c>
      <c r="J14" s="76" t="s">
        <v>380</v>
      </c>
      <c r="K14" s="76" t="s">
        <v>380</v>
      </c>
      <c r="L14" s="76" t="s">
        <v>380</v>
      </c>
      <c r="M14" s="76" t="s">
        <v>520</v>
      </c>
      <c r="N14" s="76" t="s">
        <v>356</v>
      </c>
      <c r="O14" s="76" t="s">
        <v>348</v>
      </c>
      <c r="P14" s="76" t="s">
        <v>366</v>
      </c>
      <c r="Q14" s="76" t="s">
        <v>356</v>
      </c>
      <c r="R14" s="76" t="s">
        <v>347</v>
      </c>
      <c r="S14" s="76" t="s">
        <v>347</v>
      </c>
      <c r="T14" s="76" t="s">
        <v>347</v>
      </c>
      <c r="U14" s="76" t="s">
        <v>347</v>
      </c>
      <c r="V14" s="76" t="s">
        <v>347</v>
      </c>
      <c r="W14" s="76" t="s">
        <v>380</v>
      </c>
      <c r="X14" s="76" t="s">
        <v>605</v>
      </c>
      <c r="Y14" s="76" t="s">
        <v>348</v>
      </c>
      <c r="Z14" s="76" t="s">
        <v>380</v>
      </c>
      <c r="AA14" s="76" t="s">
        <v>520</v>
      </c>
      <c r="AB14" s="76" t="s">
        <v>517</v>
      </c>
      <c r="AC14" s="76" t="s">
        <v>520</v>
      </c>
      <c r="AD14" s="76" t="s">
        <v>520</v>
      </c>
      <c r="AE14" s="76" t="s">
        <v>355</v>
      </c>
      <c r="AF14" s="68"/>
      <c r="AG14" s="68"/>
      <c r="AH14" s="68"/>
      <c r="AI14" s="68"/>
    </row>
    <row r="15" spans="2:35" ht="15">
      <c r="B15" s="102">
        <v>13</v>
      </c>
      <c r="C15" s="102"/>
      <c r="D15" s="113"/>
      <c r="E15" s="77" t="s">
        <v>518</v>
      </c>
      <c r="F15" s="77" t="s">
        <v>392</v>
      </c>
      <c r="G15" s="77" t="s">
        <v>392</v>
      </c>
      <c r="H15" s="77" t="s">
        <v>393</v>
      </c>
      <c r="I15" s="77" t="s">
        <v>392</v>
      </c>
      <c r="J15" s="77" t="s">
        <v>392</v>
      </c>
      <c r="K15" s="77" t="s">
        <v>387</v>
      </c>
      <c r="L15" s="77" t="s">
        <v>384</v>
      </c>
      <c r="M15" s="77" t="s">
        <v>518</v>
      </c>
      <c r="N15" s="77" t="s">
        <v>390</v>
      </c>
      <c r="O15" s="77" t="s">
        <v>393</v>
      </c>
      <c r="P15" s="77" t="s">
        <v>390</v>
      </c>
      <c r="Q15" s="77" t="s">
        <v>366</v>
      </c>
      <c r="R15" s="77" t="s">
        <v>384</v>
      </c>
      <c r="S15" s="77" t="s">
        <v>366</v>
      </c>
      <c r="T15" s="77" t="s">
        <v>366</v>
      </c>
      <c r="U15" s="77" t="s">
        <v>390</v>
      </c>
      <c r="V15" s="77" t="s">
        <v>390</v>
      </c>
      <c r="W15" s="77" t="s">
        <v>392</v>
      </c>
      <c r="X15" s="77" t="s">
        <v>517</v>
      </c>
      <c r="Y15" s="77" t="s">
        <v>373</v>
      </c>
      <c r="Z15" s="77" t="s">
        <v>551</v>
      </c>
      <c r="AA15" s="77" t="s">
        <v>392</v>
      </c>
      <c r="AB15" s="77" t="s">
        <v>358</v>
      </c>
      <c r="AC15" s="77" t="s">
        <v>351</v>
      </c>
      <c r="AD15" s="77" t="s">
        <v>392</v>
      </c>
      <c r="AE15" s="77" t="s">
        <v>358</v>
      </c>
      <c r="AF15" s="68"/>
      <c r="AG15" s="68"/>
      <c r="AH15" s="68"/>
      <c r="AI15" s="68"/>
    </row>
    <row r="16" spans="2:35" ht="15.75" thickBot="1">
      <c r="B16" s="102">
        <v>14</v>
      </c>
      <c r="C16" s="102"/>
      <c r="D16" s="114"/>
      <c r="E16" s="78" t="s">
        <v>366</v>
      </c>
      <c r="F16" s="78" t="s">
        <v>366</v>
      </c>
      <c r="G16" s="78" t="s">
        <v>366</v>
      </c>
      <c r="H16" s="78" t="s">
        <v>366</v>
      </c>
      <c r="I16" s="78" t="s">
        <v>366</v>
      </c>
      <c r="J16" s="78" t="s">
        <v>366</v>
      </c>
      <c r="K16" s="78" t="s">
        <v>366</v>
      </c>
      <c r="L16" s="78" t="s">
        <v>390</v>
      </c>
      <c r="M16" s="78" t="s">
        <v>392</v>
      </c>
      <c r="N16" s="78" t="s">
        <v>365</v>
      </c>
      <c r="O16" s="78" t="s">
        <v>365</v>
      </c>
      <c r="P16" s="78" t="s">
        <v>365</v>
      </c>
      <c r="Q16" s="78" t="s">
        <v>365</v>
      </c>
      <c r="R16" s="78" t="s">
        <v>383</v>
      </c>
      <c r="S16" s="78" t="s">
        <v>356</v>
      </c>
      <c r="T16" s="78" t="s">
        <v>356</v>
      </c>
      <c r="U16" s="78" t="s">
        <v>372</v>
      </c>
      <c r="V16" s="78" t="s">
        <v>372</v>
      </c>
      <c r="W16" s="78" t="s">
        <v>366</v>
      </c>
      <c r="X16" s="78" t="s">
        <v>366</v>
      </c>
      <c r="Y16" s="78" t="s">
        <v>391</v>
      </c>
      <c r="Z16" s="78" t="s">
        <v>366</v>
      </c>
      <c r="AA16" s="78" t="s">
        <v>358</v>
      </c>
      <c r="AB16" s="78" t="s">
        <v>392</v>
      </c>
      <c r="AC16" s="78" t="s">
        <v>392</v>
      </c>
      <c r="AD16" s="78" t="s">
        <v>377</v>
      </c>
      <c r="AE16" s="78" t="s">
        <v>364</v>
      </c>
      <c r="AF16" s="68"/>
      <c r="AG16" s="68"/>
      <c r="AH16" s="68"/>
      <c r="AI16" s="68"/>
    </row>
    <row r="17" spans="2:35" ht="15">
      <c r="B17" s="102">
        <v>15</v>
      </c>
      <c r="C17" s="102"/>
      <c r="D17" s="112" t="s">
        <v>515</v>
      </c>
      <c r="E17" s="76" t="s">
        <v>347</v>
      </c>
      <c r="F17" s="76" t="s">
        <v>347</v>
      </c>
      <c r="G17" s="76" t="s">
        <v>365</v>
      </c>
      <c r="H17" s="76" t="s">
        <v>390</v>
      </c>
      <c r="I17" s="76" t="s">
        <v>380</v>
      </c>
      <c r="J17" s="76" t="s">
        <v>347</v>
      </c>
      <c r="K17" s="76" t="s">
        <v>358</v>
      </c>
      <c r="L17" s="76" t="s">
        <v>347</v>
      </c>
      <c r="M17" s="76" t="s">
        <v>366</v>
      </c>
      <c r="N17" s="76" t="s">
        <v>366</v>
      </c>
      <c r="O17" s="76" t="s">
        <v>366</v>
      </c>
      <c r="P17" s="76" t="s">
        <v>356</v>
      </c>
      <c r="Q17" s="76" t="s">
        <v>390</v>
      </c>
      <c r="R17" s="76" t="s">
        <v>366</v>
      </c>
      <c r="S17" s="76" t="s">
        <v>390</v>
      </c>
      <c r="T17" s="76" t="s">
        <v>390</v>
      </c>
      <c r="U17" s="76" t="s">
        <v>366</v>
      </c>
      <c r="V17" s="76" t="s">
        <v>366</v>
      </c>
      <c r="W17" s="76" t="s">
        <v>347</v>
      </c>
      <c r="X17" s="76" t="s">
        <v>347</v>
      </c>
      <c r="Y17" s="76" t="s">
        <v>347</v>
      </c>
      <c r="Z17" s="76" t="s">
        <v>347</v>
      </c>
      <c r="AA17" s="76" t="s">
        <v>389</v>
      </c>
      <c r="AB17" s="76" t="s">
        <v>520</v>
      </c>
      <c r="AC17" s="76" t="s">
        <v>517</v>
      </c>
      <c r="AD17" s="76" t="s">
        <v>517</v>
      </c>
      <c r="AE17" s="76" t="s">
        <v>539</v>
      </c>
      <c r="AF17" s="68"/>
      <c r="AG17" s="68"/>
      <c r="AH17" s="68"/>
      <c r="AI17" s="68"/>
    </row>
    <row r="18" spans="2:35" ht="15">
      <c r="B18" s="102">
        <v>16</v>
      </c>
      <c r="C18" s="102"/>
      <c r="D18" s="113"/>
      <c r="E18" s="77" t="s">
        <v>377</v>
      </c>
      <c r="F18" s="77" t="s">
        <v>377</v>
      </c>
      <c r="G18" s="77" t="s">
        <v>377</v>
      </c>
      <c r="H18" s="77" t="s">
        <v>377</v>
      </c>
      <c r="I18" s="77" t="s">
        <v>377</v>
      </c>
      <c r="J18" s="77" t="s">
        <v>377</v>
      </c>
      <c r="K18" s="77" t="s">
        <v>377</v>
      </c>
      <c r="L18" s="77" t="s">
        <v>358</v>
      </c>
      <c r="M18" s="77" t="s">
        <v>377</v>
      </c>
      <c r="N18" s="77" t="s">
        <v>348</v>
      </c>
      <c r="O18" s="77" t="s">
        <v>356</v>
      </c>
      <c r="P18" s="77" t="s">
        <v>348</v>
      </c>
      <c r="Q18" s="77" t="s">
        <v>348</v>
      </c>
      <c r="R18" s="77" t="s">
        <v>389</v>
      </c>
      <c r="S18" s="77" t="s">
        <v>365</v>
      </c>
      <c r="T18" s="77" t="s">
        <v>365</v>
      </c>
      <c r="U18" s="77" t="s">
        <v>365</v>
      </c>
      <c r="V18" s="77" t="s">
        <v>365</v>
      </c>
      <c r="W18" s="77" t="s">
        <v>518</v>
      </c>
      <c r="X18" s="77" t="s">
        <v>518</v>
      </c>
      <c r="Y18" s="77" t="s">
        <v>377</v>
      </c>
      <c r="Z18" s="77" t="s">
        <v>377</v>
      </c>
      <c r="AA18" s="77" t="s">
        <v>378</v>
      </c>
      <c r="AB18" s="77" t="s">
        <v>377</v>
      </c>
      <c r="AC18" s="77" t="s">
        <v>366</v>
      </c>
      <c r="AD18" s="77" t="s">
        <v>366</v>
      </c>
      <c r="AE18" s="77" t="s">
        <v>384</v>
      </c>
      <c r="AF18" s="68"/>
      <c r="AG18" s="68"/>
      <c r="AH18" s="68"/>
      <c r="AI18" s="68"/>
    </row>
    <row r="19" spans="2:35" ht="15.75" thickBot="1">
      <c r="B19" s="102">
        <v>17</v>
      </c>
      <c r="C19" s="102"/>
      <c r="D19" s="114"/>
      <c r="E19" s="78" t="s">
        <v>384</v>
      </c>
      <c r="F19" s="78" t="s">
        <v>384</v>
      </c>
      <c r="G19" s="78" t="s">
        <v>380</v>
      </c>
      <c r="H19" s="78" t="s">
        <v>517</v>
      </c>
      <c r="I19" s="78" t="s">
        <v>384</v>
      </c>
      <c r="J19" s="78" t="s">
        <v>518</v>
      </c>
      <c r="K19" s="78" t="s">
        <v>520</v>
      </c>
      <c r="L19" s="78" t="s">
        <v>387</v>
      </c>
      <c r="M19" s="78" t="s">
        <v>380</v>
      </c>
      <c r="N19" s="78" t="s">
        <v>373</v>
      </c>
      <c r="O19" s="78" t="s">
        <v>373</v>
      </c>
      <c r="P19" s="78" t="s">
        <v>373</v>
      </c>
      <c r="Q19" s="78" t="s">
        <v>373</v>
      </c>
      <c r="R19" s="78" t="s">
        <v>380</v>
      </c>
      <c r="S19" s="78" t="s">
        <v>380</v>
      </c>
      <c r="T19" s="78" t="s">
        <v>380</v>
      </c>
      <c r="U19" s="78" t="s">
        <v>357</v>
      </c>
      <c r="V19" s="78" t="s">
        <v>357</v>
      </c>
      <c r="W19" s="78" t="s">
        <v>384</v>
      </c>
      <c r="X19" s="78" t="s">
        <v>384</v>
      </c>
      <c r="Y19" s="78" t="s">
        <v>384</v>
      </c>
      <c r="Z19" s="78" t="s">
        <v>396</v>
      </c>
      <c r="AA19" s="78" t="s">
        <v>380</v>
      </c>
      <c r="AB19" s="78" t="s">
        <v>366</v>
      </c>
      <c r="AC19" s="78" t="s">
        <v>341</v>
      </c>
      <c r="AD19" s="78" t="s">
        <v>341</v>
      </c>
      <c r="AE19" s="78"/>
      <c r="AF19" s="68"/>
      <c r="AG19" s="68"/>
      <c r="AH19" s="68"/>
      <c r="AI19" s="68"/>
    </row>
    <row r="20" spans="2:35" ht="15.75">
      <c r="B20" s="102">
        <v>18</v>
      </c>
      <c r="C20" s="102"/>
      <c r="D20" s="115" t="s">
        <v>521</v>
      </c>
      <c r="E20" s="76" t="s">
        <v>548</v>
      </c>
      <c r="F20" s="76" t="s">
        <v>548</v>
      </c>
      <c r="G20" s="76" t="s">
        <v>548</v>
      </c>
      <c r="H20" s="76" t="s">
        <v>548</v>
      </c>
      <c r="I20" s="76" t="s">
        <v>548</v>
      </c>
      <c r="J20" s="76" t="s">
        <v>548</v>
      </c>
      <c r="K20" s="76" t="s">
        <v>548</v>
      </c>
      <c r="L20" s="76" t="s">
        <v>548</v>
      </c>
      <c r="M20" s="76" t="s">
        <v>548</v>
      </c>
      <c r="N20" s="76"/>
      <c r="O20" s="76"/>
      <c r="P20" s="76"/>
      <c r="Q20" s="76"/>
      <c r="R20" s="76" t="s">
        <v>548</v>
      </c>
      <c r="S20" s="76" t="s">
        <v>548</v>
      </c>
      <c r="T20" s="76" t="s">
        <v>548</v>
      </c>
      <c r="U20" s="76" t="s">
        <v>548</v>
      </c>
      <c r="V20" s="76" t="s">
        <v>548</v>
      </c>
      <c r="W20" s="76" t="s">
        <v>548</v>
      </c>
      <c r="X20" s="76" t="s">
        <v>548</v>
      </c>
      <c r="Y20" s="76" t="s">
        <v>284</v>
      </c>
      <c r="Z20" s="76" t="s">
        <v>548</v>
      </c>
      <c r="AA20" s="76" t="s">
        <v>548</v>
      </c>
      <c r="AB20" s="76" t="s">
        <v>548</v>
      </c>
      <c r="AC20" s="76" t="s">
        <v>548</v>
      </c>
      <c r="AD20" s="76" t="s">
        <v>548</v>
      </c>
      <c r="AE20" s="76"/>
      <c r="AF20" s="68"/>
      <c r="AG20" s="68"/>
      <c r="AH20" s="68"/>
      <c r="AI20" s="68"/>
    </row>
    <row r="21" spans="2:35" ht="16.5" thickBot="1">
      <c r="B21" s="102">
        <v>19</v>
      </c>
      <c r="C21" s="102"/>
      <c r="D21" s="116"/>
      <c r="E21" s="78"/>
      <c r="F21" s="78"/>
      <c r="G21" s="78" t="s">
        <v>262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 t="s">
        <v>284</v>
      </c>
      <c r="X21" s="78"/>
      <c r="Y21" s="78"/>
      <c r="Z21" s="78"/>
      <c r="AA21" s="78" t="s">
        <v>284</v>
      </c>
      <c r="AB21" s="78"/>
      <c r="AC21" s="78"/>
      <c r="AD21" s="78" t="s">
        <v>284</v>
      </c>
      <c r="AE21" s="78"/>
      <c r="AF21" s="68"/>
      <c r="AG21" s="68"/>
      <c r="AH21" s="68"/>
      <c r="AI21" s="68"/>
    </row>
    <row r="22" spans="2:35" ht="16.5" thickBot="1">
      <c r="B22" s="102">
        <v>20</v>
      </c>
      <c r="C22" s="102">
        <v>5</v>
      </c>
      <c r="D22" s="117" t="s">
        <v>646</v>
      </c>
      <c r="E22" s="79" t="s">
        <v>522</v>
      </c>
      <c r="F22" s="79" t="s">
        <v>522</v>
      </c>
      <c r="G22" s="79" t="s">
        <v>522</v>
      </c>
      <c r="H22" s="79" t="s">
        <v>522</v>
      </c>
      <c r="I22" s="79" t="s">
        <v>522</v>
      </c>
      <c r="J22" s="79" t="s">
        <v>522</v>
      </c>
      <c r="K22" s="79" t="s">
        <v>522</v>
      </c>
      <c r="L22" s="79" t="s">
        <v>522</v>
      </c>
      <c r="M22" s="79" t="s">
        <v>522</v>
      </c>
      <c r="N22" s="79" t="s">
        <v>578</v>
      </c>
      <c r="O22" s="79" t="s">
        <v>578</v>
      </c>
      <c r="P22" s="79" t="s">
        <v>578</v>
      </c>
      <c r="Q22" s="79" t="s">
        <v>578</v>
      </c>
      <c r="R22" s="79" t="s">
        <v>594</v>
      </c>
      <c r="S22" s="79" t="s">
        <v>557</v>
      </c>
      <c r="T22" s="79" t="s">
        <v>557</v>
      </c>
      <c r="U22" s="79" t="s">
        <v>601</v>
      </c>
      <c r="V22" s="79" t="s">
        <v>601</v>
      </c>
      <c r="W22" s="79" t="s">
        <v>555</v>
      </c>
      <c r="X22" s="79" t="s">
        <v>560</v>
      </c>
      <c r="Y22" s="79" t="s">
        <v>607</v>
      </c>
      <c r="Z22" s="79" t="s">
        <v>522</v>
      </c>
      <c r="AA22" s="79" t="s">
        <v>522</v>
      </c>
      <c r="AB22" s="79" t="s">
        <v>522</v>
      </c>
      <c r="AC22" s="79" t="s">
        <v>576</v>
      </c>
      <c r="AD22" s="79" t="s">
        <v>522</v>
      </c>
      <c r="AE22" s="79" t="s">
        <v>605</v>
      </c>
      <c r="AF22" s="68"/>
      <c r="AG22" s="68"/>
      <c r="AH22" s="68"/>
      <c r="AI22" s="68"/>
    </row>
    <row r="23" spans="2:35" ht="16.5" thickBot="1">
      <c r="B23" s="102">
        <v>21</v>
      </c>
      <c r="C23" s="102">
        <v>3</v>
      </c>
      <c r="D23" s="115" t="s">
        <v>552</v>
      </c>
      <c r="E23" s="80"/>
      <c r="F23" s="80"/>
      <c r="G23" s="80"/>
      <c r="H23" s="80"/>
      <c r="I23" s="80"/>
      <c r="J23" s="80" t="s">
        <v>576</v>
      </c>
      <c r="K23" s="138" t="s">
        <v>558</v>
      </c>
      <c r="L23" s="80" t="s">
        <v>557</v>
      </c>
      <c r="M23" s="80"/>
      <c r="N23" s="80" t="s">
        <v>557</v>
      </c>
      <c r="O23" s="80"/>
      <c r="P23" s="80" t="s">
        <v>560</v>
      </c>
      <c r="Q23" s="80" t="s">
        <v>522</v>
      </c>
      <c r="R23" s="80" t="s">
        <v>557</v>
      </c>
      <c r="S23" s="80" t="s">
        <v>522</v>
      </c>
      <c r="T23" s="80" t="s">
        <v>522</v>
      </c>
      <c r="U23" s="79" t="s">
        <v>557</v>
      </c>
      <c r="V23" s="79" t="s">
        <v>557</v>
      </c>
      <c r="W23" s="80" t="s">
        <v>522</v>
      </c>
      <c r="X23" s="80" t="s">
        <v>522</v>
      </c>
      <c r="Y23" s="80" t="s">
        <v>560</v>
      </c>
      <c r="Z23" s="80" t="s">
        <v>553</v>
      </c>
      <c r="AA23" s="80" t="s">
        <v>614</v>
      </c>
      <c r="AB23" s="80"/>
      <c r="AC23" s="79" t="s">
        <v>522</v>
      </c>
      <c r="AD23" s="80" t="s">
        <v>576</v>
      </c>
      <c r="AE23" s="80"/>
      <c r="AF23" s="68"/>
      <c r="AG23" s="68"/>
      <c r="AH23" s="68"/>
      <c r="AI23" s="68"/>
    </row>
    <row r="24" spans="2:35" ht="16.5" thickBot="1">
      <c r="B24" s="102">
        <v>22</v>
      </c>
      <c r="C24" s="102">
        <v>1</v>
      </c>
      <c r="D24" s="115" t="s">
        <v>556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 t="s">
        <v>522</v>
      </c>
      <c r="S24" s="80"/>
      <c r="T24" s="80"/>
      <c r="U24" s="80" t="s">
        <v>522</v>
      </c>
      <c r="V24" s="80" t="s">
        <v>522</v>
      </c>
      <c r="W24" s="80" t="s">
        <v>557</v>
      </c>
      <c r="X24" s="80"/>
      <c r="Y24" s="80"/>
      <c r="Z24" s="80"/>
      <c r="AA24" s="80"/>
      <c r="AB24" s="80"/>
      <c r="AC24" s="80"/>
      <c r="AD24" s="80"/>
      <c r="AE24" s="80"/>
      <c r="AF24" s="68"/>
      <c r="AG24" s="68"/>
      <c r="AH24" s="68"/>
      <c r="AI24" s="68"/>
    </row>
    <row r="25" spans="2:35" ht="16.5" thickBot="1">
      <c r="B25" s="102">
        <v>23</v>
      </c>
      <c r="C25" s="102"/>
      <c r="D25" s="115" t="s">
        <v>525</v>
      </c>
      <c r="E25" s="80">
        <v>500</v>
      </c>
      <c r="F25" s="80">
        <v>500</v>
      </c>
      <c r="G25" s="80">
        <v>500</v>
      </c>
      <c r="H25" s="80">
        <v>500</v>
      </c>
      <c r="I25" s="80">
        <v>500</v>
      </c>
      <c r="J25" s="80">
        <v>500</v>
      </c>
      <c r="K25" s="80">
        <v>500</v>
      </c>
      <c r="L25" s="80">
        <v>500</v>
      </c>
      <c r="M25" s="80">
        <v>500</v>
      </c>
      <c r="N25" s="80">
        <v>400</v>
      </c>
      <c r="O25" s="80">
        <v>400</v>
      </c>
      <c r="P25" s="80">
        <v>400</v>
      </c>
      <c r="Q25" s="80">
        <v>400</v>
      </c>
      <c r="R25" s="80">
        <v>500</v>
      </c>
      <c r="S25" s="80">
        <v>500</v>
      </c>
      <c r="T25" s="80">
        <v>500</v>
      </c>
      <c r="U25" s="80">
        <v>500</v>
      </c>
      <c r="V25" s="80">
        <v>500</v>
      </c>
      <c r="W25" s="80">
        <v>600</v>
      </c>
      <c r="X25" s="80">
        <v>600</v>
      </c>
      <c r="Y25" s="80">
        <v>400</v>
      </c>
      <c r="Z25" s="80">
        <v>500</v>
      </c>
      <c r="AA25" s="80">
        <v>600</v>
      </c>
      <c r="AB25" s="80">
        <v>500</v>
      </c>
      <c r="AC25" s="80">
        <v>500</v>
      </c>
      <c r="AD25" s="80">
        <v>600</v>
      </c>
      <c r="AE25" s="80">
        <v>500</v>
      </c>
      <c r="AF25" s="68"/>
      <c r="AG25" s="68"/>
      <c r="AH25" s="68"/>
      <c r="AI25" s="68"/>
    </row>
    <row r="26" spans="2:35" ht="15.75">
      <c r="B26" s="102">
        <v>24</v>
      </c>
      <c r="C26" s="102"/>
      <c r="D26" s="118" t="s">
        <v>523</v>
      </c>
      <c r="E26" s="81" t="s">
        <v>524</v>
      </c>
      <c r="F26" s="81" t="s">
        <v>524</v>
      </c>
      <c r="G26" s="81" t="s">
        <v>524</v>
      </c>
      <c r="H26" s="81" t="s">
        <v>524</v>
      </c>
      <c r="I26" s="81" t="s">
        <v>524</v>
      </c>
      <c r="J26" s="81" t="s">
        <v>524</v>
      </c>
      <c r="K26" s="81" t="s">
        <v>524</v>
      </c>
      <c r="L26" s="81" t="s">
        <v>524</v>
      </c>
      <c r="M26" s="81" t="s">
        <v>524</v>
      </c>
      <c r="N26" s="81" t="s">
        <v>579</v>
      </c>
      <c r="O26" s="81" t="s">
        <v>579</v>
      </c>
      <c r="P26" s="81" t="s">
        <v>579</v>
      </c>
      <c r="Q26" s="81" t="s">
        <v>579</v>
      </c>
      <c r="R26" s="81" t="s">
        <v>524</v>
      </c>
      <c r="S26" s="81" t="s">
        <v>524</v>
      </c>
      <c r="T26" s="81" t="s">
        <v>524</v>
      </c>
      <c r="U26" s="81" t="s">
        <v>524</v>
      </c>
      <c r="V26" s="81" t="s">
        <v>524</v>
      </c>
      <c r="W26" s="81" t="s">
        <v>524</v>
      </c>
      <c r="X26" s="81" t="s">
        <v>524</v>
      </c>
      <c r="Y26" s="81" t="s">
        <v>608</v>
      </c>
      <c r="Z26" s="81" t="s">
        <v>524</v>
      </c>
      <c r="AA26" s="81" t="s">
        <v>524</v>
      </c>
      <c r="AB26" s="81" t="s">
        <v>524</v>
      </c>
      <c r="AC26" s="81" t="s">
        <v>524</v>
      </c>
      <c r="AD26" s="80" t="s">
        <v>524</v>
      </c>
      <c r="AE26" s="80" t="s">
        <v>622</v>
      </c>
      <c r="AF26" s="68"/>
      <c r="AG26" s="68"/>
      <c r="AH26" s="68"/>
      <c r="AI26" s="68"/>
    </row>
    <row r="27" spans="2:35" ht="16.5" thickBot="1">
      <c r="B27" s="102">
        <v>25</v>
      </c>
      <c r="C27" s="102"/>
      <c r="D27" s="119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4"/>
      <c r="AE27" s="84"/>
      <c r="AF27" s="68"/>
      <c r="AG27" s="68"/>
      <c r="AH27" s="68"/>
      <c r="AI27" s="68"/>
    </row>
    <row r="28" spans="2:35" ht="15.75">
      <c r="B28" s="102">
        <v>26</v>
      </c>
      <c r="C28" s="102"/>
      <c r="D28" s="115" t="s">
        <v>526</v>
      </c>
      <c r="E28" s="80" t="s">
        <v>527</v>
      </c>
      <c r="F28" s="80" t="s">
        <v>527</v>
      </c>
      <c r="G28" s="80" t="s">
        <v>527</v>
      </c>
      <c r="H28" s="80" t="s">
        <v>527</v>
      </c>
      <c r="I28" s="80" t="s">
        <v>527</v>
      </c>
      <c r="J28" s="80" t="s">
        <v>527</v>
      </c>
      <c r="K28" s="80" t="s">
        <v>527</v>
      </c>
      <c r="L28" s="80" t="s">
        <v>527</v>
      </c>
      <c r="M28" s="80" t="s">
        <v>527</v>
      </c>
      <c r="N28" s="80" t="s">
        <v>580</v>
      </c>
      <c r="O28" s="80" t="s">
        <v>580</v>
      </c>
      <c r="P28" s="80" t="s">
        <v>580</v>
      </c>
      <c r="Q28" s="80" t="s">
        <v>580</v>
      </c>
      <c r="R28" s="80" t="s">
        <v>527</v>
      </c>
      <c r="S28" s="80" t="s">
        <v>596</v>
      </c>
      <c r="T28" s="80" t="s">
        <v>596</v>
      </c>
      <c r="U28" s="80" t="s">
        <v>596</v>
      </c>
      <c r="V28" s="80" t="s">
        <v>546</v>
      </c>
      <c r="W28" s="80" t="s">
        <v>527</v>
      </c>
      <c r="X28" s="80" t="s">
        <v>527</v>
      </c>
      <c r="Y28" s="80" t="s">
        <v>609</v>
      </c>
      <c r="Z28" s="80" t="s">
        <v>527</v>
      </c>
      <c r="AA28" s="80" t="s">
        <v>527</v>
      </c>
      <c r="AB28" s="80" t="s">
        <v>527</v>
      </c>
      <c r="AC28" s="80" t="s">
        <v>527</v>
      </c>
      <c r="AD28" s="80" t="s">
        <v>527</v>
      </c>
      <c r="AE28" s="80" t="s">
        <v>623</v>
      </c>
      <c r="AF28" s="68"/>
      <c r="AG28" s="68"/>
      <c r="AH28" s="68"/>
      <c r="AI28" s="68"/>
    </row>
    <row r="29" spans="2:35" ht="16.5" thickBot="1">
      <c r="B29" s="102">
        <v>27</v>
      </c>
      <c r="C29" s="102"/>
      <c r="D29" s="116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68"/>
      <c r="AG29" s="68"/>
      <c r="AH29" s="68"/>
      <c r="AI29" s="68"/>
    </row>
    <row r="30" spans="2:35" ht="16.5" thickBot="1">
      <c r="B30" s="102">
        <v>28</v>
      </c>
      <c r="C30" s="102"/>
      <c r="D30" s="116" t="s">
        <v>528</v>
      </c>
      <c r="E30" s="79" t="s">
        <v>529</v>
      </c>
      <c r="F30" s="79" t="s">
        <v>529</v>
      </c>
      <c r="G30" s="79" t="s">
        <v>529</v>
      </c>
      <c r="H30" s="79" t="s">
        <v>529</v>
      </c>
      <c r="I30" s="79" t="s">
        <v>529</v>
      </c>
      <c r="J30" s="79" t="s">
        <v>529</v>
      </c>
      <c r="K30" s="79" t="s">
        <v>529</v>
      </c>
      <c r="L30" s="79" t="s">
        <v>529</v>
      </c>
      <c r="M30" s="79" t="s">
        <v>529</v>
      </c>
      <c r="N30" s="79" t="s">
        <v>585</v>
      </c>
      <c r="O30" s="79" t="s">
        <v>585</v>
      </c>
      <c r="P30" s="79" t="s">
        <v>585</v>
      </c>
      <c r="Q30" s="79" t="s">
        <v>585</v>
      </c>
      <c r="R30" s="79" t="s">
        <v>529</v>
      </c>
      <c r="S30" s="79" t="s">
        <v>529</v>
      </c>
      <c r="T30" s="79" t="s">
        <v>529</v>
      </c>
      <c r="U30" s="79" t="s">
        <v>529</v>
      </c>
      <c r="V30" s="79" t="s">
        <v>529</v>
      </c>
      <c r="W30" s="79" t="s">
        <v>529</v>
      </c>
      <c r="X30" s="79" t="s">
        <v>529</v>
      </c>
      <c r="Y30" s="79" t="s">
        <v>610</v>
      </c>
      <c r="Z30" s="79" t="s">
        <v>529</v>
      </c>
      <c r="AA30" s="79" t="s">
        <v>615</v>
      </c>
      <c r="AB30" s="79" t="s">
        <v>529</v>
      </c>
      <c r="AC30" s="79" t="s">
        <v>529</v>
      </c>
      <c r="AD30" s="104" t="s">
        <v>529</v>
      </c>
      <c r="AE30" s="104" t="s">
        <v>624</v>
      </c>
      <c r="AF30" s="68"/>
      <c r="AG30" s="68"/>
      <c r="AH30" s="68"/>
      <c r="AI30" s="68"/>
    </row>
    <row r="31" spans="2:31" ht="32.25" thickBot="1">
      <c r="B31" s="102"/>
      <c r="C31" s="102"/>
      <c r="D31" s="100" t="s">
        <v>530</v>
      </c>
      <c r="E31" s="87" t="s">
        <v>493</v>
      </c>
      <c r="F31" s="88" t="s">
        <v>36</v>
      </c>
      <c r="G31" s="87" t="s">
        <v>38</v>
      </c>
      <c r="H31" s="87" t="s">
        <v>40</v>
      </c>
      <c r="I31" s="87" t="s">
        <v>42</v>
      </c>
      <c r="J31" s="87" t="s">
        <v>44</v>
      </c>
      <c r="K31" s="87" t="s">
        <v>45</v>
      </c>
      <c r="L31" s="87" t="s">
        <v>47</v>
      </c>
      <c r="M31" s="87" t="s">
        <v>49</v>
      </c>
      <c r="N31" s="75" t="s">
        <v>491</v>
      </c>
      <c r="O31" s="75" t="s">
        <v>27</v>
      </c>
      <c r="P31" s="75" t="s">
        <v>29</v>
      </c>
      <c r="Q31" s="71" t="s">
        <v>492</v>
      </c>
      <c r="R31" s="75" t="s">
        <v>51</v>
      </c>
      <c r="S31" s="75" t="s">
        <v>52</v>
      </c>
      <c r="T31" s="75" t="s">
        <v>53</v>
      </c>
      <c r="U31" s="75" t="s">
        <v>54</v>
      </c>
      <c r="V31" s="75" t="s">
        <v>55</v>
      </c>
      <c r="W31" s="75" t="s">
        <v>58</v>
      </c>
      <c r="X31" s="75" t="s">
        <v>60</v>
      </c>
      <c r="Y31" s="75" t="s">
        <v>62</v>
      </c>
      <c r="Z31" s="75" t="s">
        <v>65</v>
      </c>
      <c r="AA31" s="75" t="s">
        <v>67</v>
      </c>
      <c r="AB31" s="75" t="s">
        <v>68</v>
      </c>
      <c r="AC31" s="75" t="s">
        <v>70</v>
      </c>
      <c r="AD31" s="75" t="s">
        <v>71</v>
      </c>
      <c r="AE31" s="75" t="s">
        <v>620</v>
      </c>
    </row>
    <row r="32" spans="2:31" ht="12.75">
      <c r="B32" s="102">
        <v>1</v>
      </c>
      <c r="C32" s="55">
        <v>5</v>
      </c>
      <c r="D32" s="50" t="s">
        <v>625</v>
      </c>
      <c r="E32" s="84" t="s">
        <v>536</v>
      </c>
      <c r="F32" s="84" t="s">
        <v>536</v>
      </c>
      <c r="G32" s="84" t="s">
        <v>536</v>
      </c>
      <c r="H32" s="84" t="s">
        <v>536</v>
      </c>
      <c r="I32" s="84" t="s">
        <v>536</v>
      </c>
      <c r="J32" s="84" t="s">
        <v>536</v>
      </c>
      <c r="K32" s="84" t="s">
        <v>536</v>
      </c>
      <c r="L32" s="84" t="s">
        <v>536</v>
      </c>
      <c r="M32" s="84" t="s">
        <v>536</v>
      </c>
      <c r="N32" s="84" t="s">
        <v>581</v>
      </c>
      <c r="O32" s="84" t="s">
        <v>581</v>
      </c>
      <c r="P32" s="84" t="s">
        <v>581</v>
      </c>
      <c r="Q32" s="84" t="s">
        <v>581</v>
      </c>
      <c r="R32" s="84" t="s">
        <v>536</v>
      </c>
      <c r="S32" s="84" t="s">
        <v>536</v>
      </c>
      <c r="T32" s="84" t="s">
        <v>536</v>
      </c>
      <c r="U32" s="84" t="s">
        <v>536</v>
      </c>
      <c r="V32" s="84" t="s">
        <v>536</v>
      </c>
      <c r="W32" s="84" t="s">
        <v>536</v>
      </c>
      <c r="X32" s="84" t="s">
        <v>536</v>
      </c>
      <c r="Y32" s="84" t="s">
        <v>536</v>
      </c>
      <c r="Z32" s="84" t="s">
        <v>536</v>
      </c>
      <c r="AA32" s="84" t="s">
        <v>536</v>
      </c>
      <c r="AB32" s="84" t="s">
        <v>536</v>
      </c>
      <c r="AC32" s="84" t="s">
        <v>536</v>
      </c>
      <c r="AD32" s="84" t="s">
        <v>536</v>
      </c>
      <c r="AE32" s="76"/>
    </row>
    <row r="33" spans="2:31" ht="12.75">
      <c r="B33" s="102">
        <v>2</v>
      </c>
      <c r="C33" s="50">
        <v>4</v>
      </c>
      <c r="D33" s="50" t="s">
        <v>626</v>
      </c>
      <c r="E33" s="84" t="s">
        <v>535</v>
      </c>
      <c r="F33" s="84" t="s">
        <v>535</v>
      </c>
      <c r="G33" s="84" t="s">
        <v>535</v>
      </c>
      <c r="H33" s="84" t="s">
        <v>535</v>
      </c>
      <c r="I33" s="84" t="s">
        <v>535</v>
      </c>
      <c r="J33" s="84" t="s">
        <v>535</v>
      </c>
      <c r="K33" s="84" t="s">
        <v>535</v>
      </c>
      <c r="L33" s="84" t="s">
        <v>535</v>
      </c>
      <c r="M33" s="84" t="s">
        <v>535</v>
      </c>
      <c r="N33" s="77" t="s">
        <v>532</v>
      </c>
      <c r="O33" s="77" t="s">
        <v>532</v>
      </c>
      <c r="P33" s="77" t="s">
        <v>532</v>
      </c>
      <c r="Q33" s="77" t="s">
        <v>532</v>
      </c>
      <c r="R33" s="84" t="s">
        <v>535</v>
      </c>
      <c r="S33" s="84" t="s">
        <v>532</v>
      </c>
      <c r="T33" s="84" t="s">
        <v>532</v>
      </c>
      <c r="U33" s="84" t="s">
        <v>532</v>
      </c>
      <c r="V33" s="84" t="s">
        <v>532</v>
      </c>
      <c r="W33" s="84" t="s">
        <v>535</v>
      </c>
      <c r="X33" s="84" t="s">
        <v>535</v>
      </c>
      <c r="Y33" s="84" t="s">
        <v>535</v>
      </c>
      <c r="Z33" s="84" t="s">
        <v>535</v>
      </c>
      <c r="AA33" s="84" t="s">
        <v>535</v>
      </c>
      <c r="AB33" s="84" t="s">
        <v>535</v>
      </c>
      <c r="AC33" s="84" t="s">
        <v>535</v>
      </c>
      <c r="AD33" s="84" t="s">
        <v>535</v>
      </c>
      <c r="AE33" s="77" t="s">
        <v>533</v>
      </c>
    </row>
    <row r="34" spans="2:31" ht="12.75">
      <c r="B34" s="102">
        <v>3</v>
      </c>
      <c r="C34" s="50">
        <v>5</v>
      </c>
      <c r="D34" s="50" t="s">
        <v>625</v>
      </c>
      <c r="E34" s="84" t="s">
        <v>537</v>
      </c>
      <c r="F34" s="84" t="s">
        <v>537</v>
      </c>
      <c r="G34" s="84" t="s">
        <v>537</v>
      </c>
      <c r="H34" s="84" t="s">
        <v>537</v>
      </c>
      <c r="I34" s="84" t="s">
        <v>537</v>
      </c>
      <c r="J34" s="84" t="s">
        <v>537</v>
      </c>
      <c r="K34" s="84" t="s">
        <v>537</v>
      </c>
      <c r="L34" s="84" t="s">
        <v>537</v>
      </c>
      <c r="M34" s="84" t="s">
        <v>537</v>
      </c>
      <c r="N34" s="84" t="s">
        <v>537</v>
      </c>
      <c r="O34" s="84" t="s">
        <v>537</v>
      </c>
      <c r="P34" s="84" t="s">
        <v>537</v>
      </c>
      <c r="Q34" s="84" t="s">
        <v>537</v>
      </c>
      <c r="R34" s="84" t="s">
        <v>537</v>
      </c>
      <c r="S34" s="84" t="s">
        <v>537</v>
      </c>
      <c r="T34" s="84" t="s">
        <v>537</v>
      </c>
      <c r="U34" s="84" t="s">
        <v>537</v>
      </c>
      <c r="V34" s="84" t="s">
        <v>537</v>
      </c>
      <c r="W34" s="84" t="s">
        <v>537</v>
      </c>
      <c r="X34" s="84" t="s">
        <v>537</v>
      </c>
      <c r="Y34" s="84" t="s">
        <v>537</v>
      </c>
      <c r="Z34" s="84" t="s">
        <v>537</v>
      </c>
      <c r="AA34" s="84" t="s">
        <v>537</v>
      </c>
      <c r="AB34" s="84" t="s">
        <v>537</v>
      </c>
      <c r="AC34" s="84" t="s">
        <v>537</v>
      </c>
      <c r="AD34" s="84" t="s">
        <v>537</v>
      </c>
      <c r="AE34" s="77"/>
    </row>
    <row r="35" spans="2:31" ht="12.75">
      <c r="B35" s="102">
        <v>4</v>
      </c>
      <c r="C35" s="50">
        <v>5</v>
      </c>
      <c r="D35" s="50" t="s">
        <v>625</v>
      </c>
      <c r="E35" s="84" t="s">
        <v>538</v>
      </c>
      <c r="F35" s="84"/>
      <c r="G35" s="84" t="s">
        <v>538</v>
      </c>
      <c r="H35" s="84"/>
      <c r="I35" s="84" t="s">
        <v>538</v>
      </c>
      <c r="J35" s="84"/>
      <c r="K35" s="84" t="s">
        <v>538</v>
      </c>
      <c r="L35" s="84" t="s">
        <v>538</v>
      </c>
      <c r="M35" s="84" t="s">
        <v>538</v>
      </c>
      <c r="N35" s="84"/>
      <c r="O35" s="84"/>
      <c r="P35" s="84"/>
      <c r="Q35" s="84"/>
      <c r="R35" s="84"/>
      <c r="S35" s="84" t="s">
        <v>538</v>
      </c>
      <c r="T35" s="84" t="s">
        <v>538</v>
      </c>
      <c r="U35" s="84" t="s">
        <v>538</v>
      </c>
      <c r="V35" s="84" t="s">
        <v>538</v>
      </c>
      <c r="W35" s="84" t="s">
        <v>538</v>
      </c>
      <c r="X35" s="84" t="s">
        <v>539</v>
      </c>
      <c r="Y35" s="95" t="s">
        <v>538</v>
      </c>
      <c r="Z35" s="84"/>
      <c r="AA35" s="84" t="s">
        <v>538</v>
      </c>
      <c r="AB35" s="84" t="s">
        <v>538</v>
      </c>
      <c r="AC35" s="84" t="s">
        <v>538</v>
      </c>
      <c r="AD35" s="84" t="s">
        <v>538</v>
      </c>
      <c r="AE35" s="77"/>
    </row>
    <row r="36" spans="2:31" ht="13.5" thickBot="1">
      <c r="B36" s="102">
        <v>5</v>
      </c>
      <c r="C36" s="50">
        <v>2</v>
      </c>
      <c r="D36" s="50" t="s">
        <v>627</v>
      </c>
      <c r="E36" s="84" t="s">
        <v>539</v>
      </c>
      <c r="F36" s="84" t="s">
        <v>538</v>
      </c>
      <c r="G36" s="84"/>
      <c r="H36" s="84" t="s">
        <v>373</v>
      </c>
      <c r="I36" s="84" t="s">
        <v>539</v>
      </c>
      <c r="J36" s="84" t="s">
        <v>539</v>
      </c>
      <c r="K36" s="84" t="s">
        <v>539</v>
      </c>
      <c r="L36" s="84"/>
      <c r="M36" s="84"/>
      <c r="N36" s="84"/>
      <c r="O36" s="84"/>
      <c r="P36" s="84"/>
      <c r="Q36" s="84"/>
      <c r="R36" s="84" t="s">
        <v>393</v>
      </c>
      <c r="S36" s="84"/>
      <c r="T36" s="84"/>
      <c r="U36" s="84"/>
      <c r="V36" s="84"/>
      <c r="W36" s="84"/>
      <c r="X36" s="84"/>
      <c r="Y36" s="84"/>
      <c r="Z36" s="84" t="s">
        <v>539</v>
      </c>
      <c r="AA36" s="84" t="s">
        <v>539</v>
      </c>
      <c r="AB36" s="84"/>
      <c r="AC36" s="84"/>
      <c r="AD36" s="84"/>
      <c r="AE36" s="78"/>
    </row>
    <row r="37" spans="2:31" ht="15">
      <c r="B37" s="102">
        <v>6</v>
      </c>
      <c r="C37" s="102">
        <v>2</v>
      </c>
      <c r="D37" s="112" t="s">
        <v>515</v>
      </c>
      <c r="E37" s="80" t="s">
        <v>373</v>
      </c>
      <c r="F37" s="80" t="s">
        <v>373</v>
      </c>
      <c r="G37" s="80" t="s">
        <v>373</v>
      </c>
      <c r="H37" s="80"/>
      <c r="I37" s="80" t="s">
        <v>373</v>
      </c>
      <c r="J37" s="80" t="s">
        <v>373</v>
      </c>
      <c r="K37" s="80" t="s">
        <v>373</v>
      </c>
      <c r="L37" s="80" t="s">
        <v>373</v>
      </c>
      <c r="M37" s="80" t="s">
        <v>373</v>
      </c>
      <c r="N37" s="76" t="s">
        <v>374</v>
      </c>
      <c r="O37" s="76" t="s">
        <v>374</v>
      </c>
      <c r="P37" s="76" t="s">
        <v>374</v>
      </c>
      <c r="Q37" s="76" t="s">
        <v>374</v>
      </c>
      <c r="R37" s="80"/>
      <c r="S37" s="80" t="s">
        <v>373</v>
      </c>
      <c r="T37" s="80" t="s">
        <v>373</v>
      </c>
      <c r="U37" s="80" t="s">
        <v>373</v>
      </c>
      <c r="V37" s="80" t="s">
        <v>373</v>
      </c>
      <c r="W37" s="80" t="s">
        <v>373</v>
      </c>
      <c r="X37" s="80" t="s">
        <v>373</v>
      </c>
      <c r="Y37" s="80" t="s">
        <v>341</v>
      </c>
      <c r="Z37" s="80" t="s">
        <v>373</v>
      </c>
      <c r="AA37" s="80" t="s">
        <v>373</v>
      </c>
      <c r="AB37" s="80" t="s">
        <v>373</v>
      </c>
      <c r="AC37" s="80" t="s">
        <v>373</v>
      </c>
      <c r="AD37" s="80" t="s">
        <v>373</v>
      </c>
      <c r="AE37" s="76" t="s">
        <v>374</v>
      </c>
    </row>
    <row r="38" spans="2:31" ht="15">
      <c r="B38" s="102">
        <v>7</v>
      </c>
      <c r="C38" s="102"/>
      <c r="D38" s="113"/>
      <c r="E38" s="84" t="s">
        <v>393</v>
      </c>
      <c r="F38" s="84" t="s">
        <v>393</v>
      </c>
      <c r="G38" s="84" t="s">
        <v>393</v>
      </c>
      <c r="H38" s="84"/>
      <c r="I38" s="84" t="s">
        <v>393</v>
      </c>
      <c r="J38" s="84" t="s">
        <v>393</v>
      </c>
      <c r="K38" s="84" t="s">
        <v>393</v>
      </c>
      <c r="L38" s="84" t="s">
        <v>393</v>
      </c>
      <c r="M38" s="84" t="s">
        <v>393</v>
      </c>
      <c r="N38" s="77" t="s">
        <v>577</v>
      </c>
      <c r="O38" s="77" t="s">
        <v>577</v>
      </c>
      <c r="P38" s="77" t="s">
        <v>133</v>
      </c>
      <c r="Q38" s="77" t="s">
        <v>577</v>
      </c>
      <c r="R38" s="84"/>
      <c r="S38" s="84" t="s">
        <v>393</v>
      </c>
      <c r="T38" s="84" t="s">
        <v>393</v>
      </c>
      <c r="U38" s="84" t="s">
        <v>393</v>
      </c>
      <c r="V38" s="84" t="s">
        <v>393</v>
      </c>
      <c r="W38" s="84" t="s">
        <v>393</v>
      </c>
      <c r="X38" s="84" t="s">
        <v>393</v>
      </c>
      <c r="Y38" s="84" t="s">
        <v>543</v>
      </c>
      <c r="Z38" s="84" t="s">
        <v>393</v>
      </c>
      <c r="AA38" s="84" t="s">
        <v>393</v>
      </c>
      <c r="AB38" s="84" t="s">
        <v>393</v>
      </c>
      <c r="AC38" s="84" t="s">
        <v>393</v>
      </c>
      <c r="AD38" s="84" t="s">
        <v>393</v>
      </c>
      <c r="AE38" s="77" t="s">
        <v>543</v>
      </c>
    </row>
    <row r="39" spans="2:31" ht="15.75" thickBot="1">
      <c r="B39" s="102">
        <v>8</v>
      </c>
      <c r="C39" s="102"/>
      <c r="D39" s="114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78"/>
    </row>
    <row r="40" spans="2:31" ht="15">
      <c r="B40" s="102">
        <v>9</v>
      </c>
      <c r="C40" s="102">
        <v>4</v>
      </c>
      <c r="D40" s="112" t="s">
        <v>516</v>
      </c>
      <c r="E40" s="80" t="s">
        <v>517</v>
      </c>
      <c r="F40" s="76" t="s">
        <v>380</v>
      </c>
      <c r="G40" s="80" t="s">
        <v>517</v>
      </c>
      <c r="H40" s="80" t="s">
        <v>517</v>
      </c>
      <c r="I40" s="80" t="s">
        <v>366</v>
      </c>
      <c r="J40" s="80" t="s">
        <v>518</v>
      </c>
      <c r="K40" s="80" t="s">
        <v>520</v>
      </c>
      <c r="L40" s="80" t="s">
        <v>347</v>
      </c>
      <c r="M40" s="80" t="s">
        <v>518</v>
      </c>
      <c r="N40" s="76" t="s">
        <v>538</v>
      </c>
      <c r="O40" s="76" t="s">
        <v>538</v>
      </c>
      <c r="P40" s="76" t="s">
        <v>538</v>
      </c>
      <c r="Q40" s="76" t="s">
        <v>538</v>
      </c>
      <c r="R40" s="80" t="s">
        <v>347</v>
      </c>
      <c r="S40" s="80" t="s">
        <v>347</v>
      </c>
      <c r="T40" s="80" t="s">
        <v>347</v>
      </c>
      <c r="U40" s="80" t="s">
        <v>392</v>
      </c>
      <c r="V40" s="80" t="s">
        <v>392</v>
      </c>
      <c r="W40" s="80" t="s">
        <v>517</v>
      </c>
      <c r="X40" s="80" t="s">
        <v>347</v>
      </c>
      <c r="Y40" s="80" t="s">
        <v>365</v>
      </c>
      <c r="Z40" s="80" t="s">
        <v>517</v>
      </c>
      <c r="AA40" s="80" t="s">
        <v>517</v>
      </c>
      <c r="AB40" s="80" t="s">
        <v>365</v>
      </c>
      <c r="AC40" s="80" t="s">
        <v>351</v>
      </c>
      <c r="AD40" s="80" t="s">
        <v>520</v>
      </c>
      <c r="AE40" s="76" t="s">
        <v>621</v>
      </c>
    </row>
    <row r="41" spans="2:31" ht="15">
      <c r="B41" s="102">
        <v>10</v>
      </c>
      <c r="C41" s="102"/>
      <c r="D41" s="113"/>
      <c r="E41" s="84" t="s">
        <v>389</v>
      </c>
      <c r="F41" s="77" t="s">
        <v>392</v>
      </c>
      <c r="G41" s="84" t="s">
        <v>377</v>
      </c>
      <c r="H41" s="84" t="s">
        <v>377</v>
      </c>
      <c r="I41" s="84" t="s">
        <v>347</v>
      </c>
      <c r="J41" s="84" t="s">
        <v>377</v>
      </c>
      <c r="K41" s="84" t="s">
        <v>377</v>
      </c>
      <c r="L41" s="84" t="s">
        <v>387</v>
      </c>
      <c r="M41" s="84" t="s">
        <v>366</v>
      </c>
      <c r="N41" s="84" t="s">
        <v>365</v>
      </c>
      <c r="O41" s="84" t="s">
        <v>366</v>
      </c>
      <c r="P41" s="84" t="s">
        <v>358</v>
      </c>
      <c r="Q41" s="84" t="s">
        <v>365</v>
      </c>
      <c r="R41" s="84" t="s">
        <v>383</v>
      </c>
      <c r="S41" s="84" t="s">
        <v>366</v>
      </c>
      <c r="T41" s="84" t="s">
        <v>366</v>
      </c>
      <c r="U41" s="84" t="s">
        <v>358</v>
      </c>
      <c r="V41" s="84" t="s">
        <v>358</v>
      </c>
      <c r="W41" s="84" t="s">
        <v>366</v>
      </c>
      <c r="X41" s="84" t="s">
        <v>518</v>
      </c>
      <c r="Y41" s="84" t="s">
        <v>393</v>
      </c>
      <c r="Z41" s="77" t="s">
        <v>551</v>
      </c>
      <c r="AA41" s="84" t="s">
        <v>389</v>
      </c>
      <c r="AB41" s="84" t="s">
        <v>347</v>
      </c>
      <c r="AC41" s="84" t="s">
        <v>392</v>
      </c>
      <c r="AD41" s="84" t="s">
        <v>392</v>
      </c>
      <c r="AE41" s="77" t="s">
        <v>344</v>
      </c>
    </row>
    <row r="42" spans="2:31" ht="15.75" thickBot="1">
      <c r="B42" s="102">
        <v>11</v>
      </c>
      <c r="C42" s="102"/>
      <c r="D42" s="114"/>
      <c r="E42" s="83" t="s">
        <v>358</v>
      </c>
      <c r="F42" s="78" t="s">
        <v>366</v>
      </c>
      <c r="G42" s="83" t="s">
        <v>365</v>
      </c>
      <c r="H42" s="83" t="s">
        <v>390</v>
      </c>
      <c r="I42" s="83" t="s">
        <v>392</v>
      </c>
      <c r="J42" s="83" t="s">
        <v>347</v>
      </c>
      <c r="K42" s="83" t="s">
        <v>358</v>
      </c>
      <c r="L42" s="83" t="s">
        <v>358</v>
      </c>
      <c r="M42" s="83" t="s">
        <v>392</v>
      </c>
      <c r="N42" s="83" t="s">
        <v>393</v>
      </c>
      <c r="O42" s="83" t="s">
        <v>393</v>
      </c>
      <c r="P42" s="83" t="s">
        <v>348</v>
      </c>
      <c r="Q42" s="83" t="s">
        <v>393</v>
      </c>
      <c r="R42" s="83" t="s">
        <v>350</v>
      </c>
      <c r="S42" s="83" t="s">
        <v>350</v>
      </c>
      <c r="T42" s="83" t="s">
        <v>350</v>
      </c>
      <c r="U42" s="83" t="s">
        <v>377</v>
      </c>
      <c r="V42" s="83" t="s">
        <v>377</v>
      </c>
      <c r="W42" s="83" t="s">
        <v>392</v>
      </c>
      <c r="X42" s="83" t="s">
        <v>350</v>
      </c>
      <c r="Y42" s="83" t="s">
        <v>350</v>
      </c>
      <c r="Z42" s="83" t="s">
        <v>366</v>
      </c>
      <c r="AA42" s="83" t="s">
        <v>378</v>
      </c>
      <c r="AB42" s="83" t="s">
        <v>392</v>
      </c>
      <c r="AC42" s="83" t="s">
        <v>520</v>
      </c>
      <c r="AD42" s="83" t="s">
        <v>377</v>
      </c>
      <c r="AE42" s="78" t="s">
        <v>360</v>
      </c>
    </row>
    <row r="43" spans="2:31" ht="15.75" thickBot="1">
      <c r="B43" s="102">
        <v>12</v>
      </c>
      <c r="C43" s="102">
        <v>3</v>
      </c>
      <c r="D43" s="112" t="s">
        <v>519</v>
      </c>
      <c r="E43" s="80" t="s">
        <v>520</v>
      </c>
      <c r="F43" s="80" t="s">
        <v>347</v>
      </c>
      <c r="G43" s="80" t="s">
        <v>520</v>
      </c>
      <c r="H43" s="80" t="s">
        <v>393</v>
      </c>
      <c r="I43" s="80" t="s">
        <v>350</v>
      </c>
      <c r="J43" s="80" t="s">
        <v>380</v>
      </c>
      <c r="K43" s="80" t="s">
        <v>387</v>
      </c>
      <c r="L43" s="80" t="s">
        <v>380</v>
      </c>
      <c r="M43" s="80" t="s">
        <v>520</v>
      </c>
      <c r="N43" s="80" t="s">
        <v>356</v>
      </c>
      <c r="O43" s="80" t="s">
        <v>365</v>
      </c>
      <c r="P43" s="80" t="s">
        <v>366</v>
      </c>
      <c r="Q43" s="80" t="s">
        <v>356</v>
      </c>
      <c r="R43" s="80" t="s">
        <v>520</v>
      </c>
      <c r="S43" s="80" t="s">
        <v>392</v>
      </c>
      <c r="T43" s="80" t="s">
        <v>392</v>
      </c>
      <c r="U43" s="80" t="s">
        <v>366</v>
      </c>
      <c r="V43" s="80" t="s">
        <v>366</v>
      </c>
      <c r="W43" s="80" t="s">
        <v>347</v>
      </c>
      <c r="X43" s="137" t="s">
        <v>558</v>
      </c>
      <c r="Y43" s="80" t="s">
        <v>348</v>
      </c>
      <c r="Z43" s="80" t="s">
        <v>347</v>
      </c>
      <c r="AA43" s="80" t="s">
        <v>520</v>
      </c>
      <c r="AB43" s="80" t="s">
        <v>377</v>
      </c>
      <c r="AC43" s="80" t="s">
        <v>517</v>
      </c>
      <c r="AD43" s="80" t="s">
        <v>380</v>
      </c>
      <c r="AE43" s="76" t="s">
        <v>355</v>
      </c>
    </row>
    <row r="44" spans="2:31" ht="15">
      <c r="B44" s="102">
        <v>13</v>
      </c>
      <c r="C44" s="102"/>
      <c r="D44" s="113"/>
      <c r="E44" s="84" t="s">
        <v>518</v>
      </c>
      <c r="F44" s="84" t="s">
        <v>377</v>
      </c>
      <c r="G44" s="84" t="s">
        <v>392</v>
      </c>
      <c r="H44" s="84" t="s">
        <v>518</v>
      </c>
      <c r="I44" s="84" t="s">
        <v>377</v>
      </c>
      <c r="J44" s="84" t="s">
        <v>392</v>
      </c>
      <c r="K44" s="84" t="s">
        <v>517</v>
      </c>
      <c r="L44" s="84" t="s">
        <v>539</v>
      </c>
      <c r="M44" s="84" t="s">
        <v>377</v>
      </c>
      <c r="N44" s="84" t="s">
        <v>358</v>
      </c>
      <c r="O44" s="84" t="s">
        <v>340</v>
      </c>
      <c r="P44" s="84" t="s">
        <v>365</v>
      </c>
      <c r="Q44" s="84" t="s">
        <v>340</v>
      </c>
      <c r="R44" s="84" t="s">
        <v>392</v>
      </c>
      <c r="S44" s="84" t="s">
        <v>358</v>
      </c>
      <c r="T44" s="84" t="s">
        <v>358</v>
      </c>
      <c r="U44" s="84" t="s">
        <v>350</v>
      </c>
      <c r="V44" s="84" t="s">
        <v>350</v>
      </c>
      <c r="W44" s="84" t="s">
        <v>384</v>
      </c>
      <c r="X44" s="84" t="s">
        <v>517</v>
      </c>
      <c r="Y44" s="84" t="s">
        <v>396</v>
      </c>
      <c r="Z44" s="84" t="s">
        <v>396</v>
      </c>
      <c r="AA44" s="84" t="s">
        <v>358</v>
      </c>
      <c r="AB44" s="84" t="s">
        <v>358</v>
      </c>
      <c r="AC44" s="84" t="s">
        <v>341</v>
      </c>
      <c r="AD44" s="84" t="s">
        <v>341</v>
      </c>
      <c r="AE44" s="77" t="s">
        <v>358</v>
      </c>
    </row>
    <row r="45" spans="2:31" ht="15.75" thickBot="1">
      <c r="B45" s="102">
        <v>14</v>
      </c>
      <c r="C45" s="102"/>
      <c r="D45" s="114"/>
      <c r="E45" s="83" t="s">
        <v>366</v>
      </c>
      <c r="F45" s="83" t="s">
        <v>539</v>
      </c>
      <c r="G45" s="83" t="s">
        <v>366</v>
      </c>
      <c r="H45" s="83" t="s">
        <v>366</v>
      </c>
      <c r="I45" s="83" t="s">
        <v>380</v>
      </c>
      <c r="J45" s="83" t="s">
        <v>366</v>
      </c>
      <c r="K45" s="83" t="s">
        <v>366</v>
      </c>
      <c r="L45" s="83" t="s">
        <v>390</v>
      </c>
      <c r="M45" s="83" t="s">
        <v>380</v>
      </c>
      <c r="N45" s="83" t="s">
        <v>348</v>
      </c>
      <c r="O45" s="83" t="s">
        <v>348</v>
      </c>
      <c r="P45" s="83" t="s">
        <v>393</v>
      </c>
      <c r="Q45" s="83" t="s">
        <v>348</v>
      </c>
      <c r="R45" s="83" t="s">
        <v>358</v>
      </c>
      <c r="S45" s="83" t="s">
        <v>377</v>
      </c>
      <c r="T45" s="83" t="s">
        <v>377</v>
      </c>
      <c r="U45" s="78" t="s">
        <v>357</v>
      </c>
      <c r="V45" s="78" t="s">
        <v>357</v>
      </c>
      <c r="W45" s="83" t="s">
        <v>518</v>
      </c>
      <c r="X45" s="83" t="s">
        <v>366</v>
      </c>
      <c r="Y45" s="83" t="s">
        <v>391</v>
      </c>
      <c r="Z45" s="83" t="s">
        <v>377</v>
      </c>
      <c r="AA45" s="83" t="s">
        <v>392</v>
      </c>
      <c r="AB45" s="83" t="s">
        <v>517</v>
      </c>
      <c r="AC45" s="83" t="s">
        <v>366</v>
      </c>
      <c r="AD45" s="83" t="s">
        <v>366</v>
      </c>
      <c r="AE45" s="78" t="s">
        <v>364</v>
      </c>
    </row>
    <row r="46" spans="2:31" ht="15">
      <c r="B46" s="102">
        <v>15</v>
      </c>
      <c r="C46" s="102">
        <v>2</v>
      </c>
      <c r="D46" s="112" t="s">
        <v>534</v>
      </c>
      <c r="E46" s="80" t="s">
        <v>347</v>
      </c>
      <c r="F46" s="80" t="s">
        <v>358</v>
      </c>
      <c r="G46" s="80" t="s">
        <v>347</v>
      </c>
      <c r="H46" s="80" t="s">
        <v>520</v>
      </c>
      <c r="I46" s="80" t="s">
        <v>520</v>
      </c>
      <c r="J46" s="80" t="s">
        <v>358</v>
      </c>
      <c r="K46" s="80" t="s">
        <v>347</v>
      </c>
      <c r="L46" s="80" t="s">
        <v>520</v>
      </c>
      <c r="M46" s="80" t="s">
        <v>358</v>
      </c>
      <c r="N46" s="80" t="s">
        <v>366</v>
      </c>
      <c r="O46" s="80" t="s">
        <v>358</v>
      </c>
      <c r="P46" s="80" t="s">
        <v>356</v>
      </c>
      <c r="Q46" s="80" t="s">
        <v>358</v>
      </c>
      <c r="R46" s="80" t="s">
        <v>366</v>
      </c>
      <c r="S46" s="80" t="s">
        <v>390</v>
      </c>
      <c r="T46" s="80" t="s">
        <v>390</v>
      </c>
      <c r="U46" s="80" t="s">
        <v>390</v>
      </c>
      <c r="V46" s="80" t="s">
        <v>390</v>
      </c>
      <c r="W46" s="80" t="s">
        <v>358</v>
      </c>
      <c r="X46" s="80" t="s">
        <v>358</v>
      </c>
      <c r="Y46" s="80" t="s">
        <v>392</v>
      </c>
      <c r="Z46" s="80" t="s">
        <v>358</v>
      </c>
      <c r="AA46" s="80" t="s">
        <v>347</v>
      </c>
      <c r="AB46" s="80" t="s">
        <v>366</v>
      </c>
      <c r="AC46" s="80" t="s">
        <v>347</v>
      </c>
      <c r="AD46" s="80" t="s">
        <v>347</v>
      </c>
      <c r="AE46" s="76" t="s">
        <v>539</v>
      </c>
    </row>
    <row r="47" spans="2:31" ht="15">
      <c r="B47" s="102">
        <v>16</v>
      </c>
      <c r="C47" s="102"/>
      <c r="D47" s="113"/>
      <c r="E47" s="84" t="s">
        <v>377</v>
      </c>
      <c r="F47" s="84" t="s">
        <v>520</v>
      </c>
      <c r="G47" s="84" t="s">
        <v>390</v>
      </c>
      <c r="H47" s="84" t="s">
        <v>392</v>
      </c>
      <c r="I47" s="84" t="s">
        <v>390</v>
      </c>
      <c r="J47" s="84" t="s">
        <v>520</v>
      </c>
      <c r="K47" s="84" t="s">
        <v>390</v>
      </c>
      <c r="L47" s="84" t="s">
        <v>366</v>
      </c>
      <c r="M47" s="84" t="s">
        <v>347</v>
      </c>
      <c r="N47" s="84" t="s">
        <v>392</v>
      </c>
      <c r="O47" s="84" t="s">
        <v>356</v>
      </c>
      <c r="P47" s="84" t="s">
        <v>392</v>
      </c>
      <c r="Q47" s="84" t="s">
        <v>392</v>
      </c>
      <c r="R47" s="84" t="s">
        <v>389</v>
      </c>
      <c r="S47" s="84" t="s">
        <v>380</v>
      </c>
      <c r="T47" s="84" t="s">
        <v>380</v>
      </c>
      <c r="U47" s="84" t="s">
        <v>347</v>
      </c>
      <c r="V47" s="84" t="s">
        <v>347</v>
      </c>
      <c r="W47" s="84" t="s">
        <v>520</v>
      </c>
      <c r="X47" s="84" t="s">
        <v>520</v>
      </c>
      <c r="Y47" s="84" t="s">
        <v>358</v>
      </c>
      <c r="Z47" s="84" t="s">
        <v>520</v>
      </c>
      <c r="AA47" s="84" t="s">
        <v>366</v>
      </c>
      <c r="AB47" s="84" t="s">
        <v>520</v>
      </c>
      <c r="AC47" s="84" t="s">
        <v>350</v>
      </c>
      <c r="AD47" s="84" t="s">
        <v>358</v>
      </c>
      <c r="AE47" s="77" t="s">
        <v>384</v>
      </c>
    </row>
    <row r="48" spans="2:31" ht="15.75" thickBot="1">
      <c r="B48" s="102">
        <v>17</v>
      </c>
      <c r="C48" s="102"/>
      <c r="D48" s="114"/>
      <c r="E48" s="83" t="s">
        <v>538</v>
      </c>
      <c r="F48" s="83" t="s">
        <v>390</v>
      </c>
      <c r="G48" s="83" t="s">
        <v>358</v>
      </c>
      <c r="H48" s="83" t="s">
        <v>358</v>
      </c>
      <c r="I48" s="83" t="s">
        <v>358</v>
      </c>
      <c r="J48" s="83" t="s">
        <v>389</v>
      </c>
      <c r="K48" s="83" t="s">
        <v>378</v>
      </c>
      <c r="L48" s="83" t="s">
        <v>392</v>
      </c>
      <c r="M48" s="83" t="s">
        <v>390</v>
      </c>
      <c r="N48" s="83" t="s">
        <v>373</v>
      </c>
      <c r="O48" s="83" t="s">
        <v>373</v>
      </c>
      <c r="P48" s="83" t="s">
        <v>373</v>
      </c>
      <c r="Q48" s="83" t="s">
        <v>373</v>
      </c>
      <c r="R48" s="83" t="s">
        <v>380</v>
      </c>
      <c r="S48" s="83" t="s">
        <v>365</v>
      </c>
      <c r="T48" s="83" t="s">
        <v>365</v>
      </c>
      <c r="U48" s="83" t="s">
        <v>372</v>
      </c>
      <c r="V48" s="83" t="s">
        <v>372</v>
      </c>
      <c r="W48" s="83" t="s">
        <v>390</v>
      </c>
      <c r="X48" s="83" t="s">
        <v>392</v>
      </c>
      <c r="Y48" s="83" t="s">
        <v>173</v>
      </c>
      <c r="Z48" s="83" t="s">
        <v>392</v>
      </c>
      <c r="AA48" s="83" t="s">
        <v>390</v>
      </c>
      <c r="AB48" s="83" t="s">
        <v>390</v>
      </c>
      <c r="AC48" s="83" t="s">
        <v>358</v>
      </c>
      <c r="AD48" s="83" t="s">
        <v>390</v>
      </c>
      <c r="AE48" s="78"/>
    </row>
    <row r="49" spans="2:31" ht="15.75">
      <c r="B49" s="102">
        <v>18</v>
      </c>
      <c r="C49" s="102"/>
      <c r="D49" s="115" t="s">
        <v>521</v>
      </c>
      <c r="E49" s="76" t="s">
        <v>548</v>
      </c>
      <c r="F49" s="76" t="s">
        <v>548</v>
      </c>
      <c r="G49" s="76" t="s">
        <v>548</v>
      </c>
      <c r="H49" s="76" t="s">
        <v>548</v>
      </c>
      <c r="I49" s="76" t="s">
        <v>548</v>
      </c>
      <c r="J49" s="76" t="s">
        <v>548</v>
      </c>
      <c r="K49" s="76" t="s">
        <v>548</v>
      </c>
      <c r="L49" s="76" t="s">
        <v>548</v>
      </c>
      <c r="M49" s="76" t="s">
        <v>548</v>
      </c>
      <c r="N49" s="76"/>
      <c r="O49" s="76"/>
      <c r="P49" s="76"/>
      <c r="Q49" s="76"/>
      <c r="R49" s="76" t="s">
        <v>548</v>
      </c>
      <c r="S49" s="76" t="s">
        <v>548</v>
      </c>
      <c r="T49" s="76" t="s">
        <v>548</v>
      </c>
      <c r="U49" s="76" t="s">
        <v>548</v>
      </c>
      <c r="V49" s="76" t="s">
        <v>548</v>
      </c>
      <c r="W49" s="76" t="s">
        <v>548</v>
      </c>
      <c r="X49" s="76" t="s">
        <v>548</v>
      </c>
      <c r="Y49" s="76"/>
      <c r="Z49" s="76" t="s">
        <v>548</v>
      </c>
      <c r="AA49" s="76" t="s">
        <v>548</v>
      </c>
      <c r="AB49" s="76" t="s">
        <v>548</v>
      </c>
      <c r="AC49" s="76" t="s">
        <v>548</v>
      </c>
      <c r="AD49" s="76" t="s">
        <v>548</v>
      </c>
      <c r="AE49" s="76"/>
    </row>
    <row r="50" spans="2:31" ht="16.5" thickBot="1">
      <c r="B50" s="102">
        <v>19</v>
      </c>
      <c r="C50" s="102"/>
      <c r="D50" s="116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78"/>
    </row>
    <row r="51" spans="2:31" ht="16.5" thickBot="1">
      <c r="B51" s="102">
        <v>20</v>
      </c>
      <c r="C51" s="102">
        <v>4</v>
      </c>
      <c r="D51" s="117" t="s">
        <v>531</v>
      </c>
      <c r="E51" s="79" t="s">
        <v>522</v>
      </c>
      <c r="F51" s="79" t="s">
        <v>522</v>
      </c>
      <c r="G51" s="79" t="s">
        <v>522</v>
      </c>
      <c r="H51" s="79" t="s">
        <v>522</v>
      </c>
      <c r="I51" s="79" t="s">
        <v>522</v>
      </c>
      <c r="J51" s="79" t="s">
        <v>522</v>
      </c>
      <c r="K51" s="79" t="s">
        <v>522</v>
      </c>
      <c r="L51" s="79" t="s">
        <v>522</v>
      </c>
      <c r="M51" s="79" t="s">
        <v>522</v>
      </c>
      <c r="N51" s="79" t="s">
        <v>578</v>
      </c>
      <c r="O51" s="79" t="s">
        <v>578</v>
      </c>
      <c r="P51" s="79" t="s">
        <v>578</v>
      </c>
      <c r="Q51" s="79" t="s">
        <v>578</v>
      </c>
      <c r="R51" s="79" t="s">
        <v>594</v>
      </c>
      <c r="S51" s="79" t="s">
        <v>557</v>
      </c>
      <c r="T51" s="79" t="s">
        <v>557</v>
      </c>
      <c r="U51" s="79" t="s">
        <v>601</v>
      </c>
      <c r="V51" s="79" t="s">
        <v>601</v>
      </c>
      <c r="W51" s="79" t="s">
        <v>555</v>
      </c>
      <c r="X51" s="79" t="s">
        <v>560</v>
      </c>
      <c r="Y51" s="79" t="s">
        <v>607</v>
      </c>
      <c r="Z51" s="79" t="s">
        <v>522</v>
      </c>
      <c r="AA51" s="79" t="s">
        <v>522</v>
      </c>
      <c r="AB51" s="79" t="s">
        <v>522</v>
      </c>
      <c r="AC51" s="79" t="s">
        <v>576</v>
      </c>
      <c r="AD51" s="79" t="s">
        <v>522</v>
      </c>
      <c r="AE51" s="79" t="s">
        <v>558</v>
      </c>
    </row>
    <row r="52" spans="2:35" ht="16.5" thickBot="1">
      <c r="B52" s="102">
        <v>21</v>
      </c>
      <c r="C52" s="102">
        <v>2</v>
      </c>
      <c r="D52" s="115" t="s">
        <v>554</v>
      </c>
      <c r="E52" s="80"/>
      <c r="F52" s="80"/>
      <c r="G52" s="80"/>
      <c r="H52" s="80"/>
      <c r="I52" s="80"/>
      <c r="J52" s="80"/>
      <c r="K52" s="138" t="s">
        <v>558</v>
      </c>
      <c r="L52" s="80" t="s">
        <v>557</v>
      </c>
      <c r="M52" s="80"/>
      <c r="N52" s="80" t="s">
        <v>557</v>
      </c>
      <c r="O52" s="80"/>
      <c r="P52" s="80" t="s">
        <v>560</v>
      </c>
      <c r="Q52" s="80" t="s">
        <v>522</v>
      </c>
      <c r="R52" s="80" t="s">
        <v>557</v>
      </c>
      <c r="S52" s="80" t="s">
        <v>522</v>
      </c>
      <c r="T52" s="80" t="s">
        <v>522</v>
      </c>
      <c r="U52" s="79" t="s">
        <v>557</v>
      </c>
      <c r="V52" s="79" t="s">
        <v>557</v>
      </c>
      <c r="W52" s="80" t="s">
        <v>522</v>
      </c>
      <c r="X52" s="80" t="s">
        <v>522</v>
      </c>
      <c r="Y52" s="80" t="s">
        <v>560</v>
      </c>
      <c r="Z52" s="80" t="s">
        <v>553</v>
      </c>
      <c r="AA52" s="80" t="s">
        <v>614</v>
      </c>
      <c r="AB52" s="80"/>
      <c r="AC52" s="79" t="s">
        <v>522</v>
      </c>
      <c r="AD52" s="80" t="s">
        <v>576</v>
      </c>
      <c r="AE52" s="80"/>
      <c r="AF52" s="68"/>
      <c r="AG52" s="68"/>
      <c r="AH52" s="68"/>
      <c r="AI52" s="68"/>
    </row>
    <row r="53" spans="2:35" ht="16.5" thickBot="1">
      <c r="B53" s="102">
        <v>22</v>
      </c>
      <c r="C53" s="102">
        <v>1</v>
      </c>
      <c r="D53" s="115" t="s">
        <v>556</v>
      </c>
      <c r="E53" s="80"/>
      <c r="F53" s="80"/>
      <c r="G53" s="80"/>
      <c r="H53" s="80"/>
      <c r="I53" s="80"/>
      <c r="J53" s="80" t="s">
        <v>576</v>
      </c>
      <c r="K53" s="80"/>
      <c r="L53" s="80"/>
      <c r="M53" s="80"/>
      <c r="N53" s="80"/>
      <c r="O53" s="80"/>
      <c r="P53" s="80"/>
      <c r="Q53" s="80"/>
      <c r="R53" s="80" t="s">
        <v>522</v>
      </c>
      <c r="S53" s="80"/>
      <c r="T53" s="80"/>
      <c r="U53" s="80" t="s">
        <v>522</v>
      </c>
      <c r="V53" s="80" t="s">
        <v>522</v>
      </c>
      <c r="W53" s="80"/>
      <c r="X53" s="80"/>
      <c r="Y53" s="80"/>
      <c r="Z53" s="80"/>
      <c r="AA53" s="80"/>
      <c r="AB53" s="80"/>
      <c r="AC53" s="80"/>
      <c r="AD53" s="80"/>
      <c r="AE53" s="80"/>
      <c r="AF53" s="68"/>
      <c r="AG53" s="68"/>
      <c r="AH53" s="68"/>
      <c r="AI53" s="68"/>
    </row>
    <row r="54" spans="2:31" ht="16.5" thickBot="1">
      <c r="B54" s="102">
        <v>23</v>
      </c>
      <c r="C54" s="102"/>
      <c r="D54" s="115" t="s">
        <v>525</v>
      </c>
      <c r="E54" s="80">
        <v>200</v>
      </c>
      <c r="F54" s="80">
        <v>200</v>
      </c>
      <c r="G54" s="80">
        <v>200</v>
      </c>
      <c r="H54" s="80">
        <v>200</v>
      </c>
      <c r="I54" s="80">
        <v>200</v>
      </c>
      <c r="J54" s="80">
        <v>200</v>
      </c>
      <c r="K54" s="80">
        <v>200</v>
      </c>
      <c r="L54" s="80">
        <v>200</v>
      </c>
      <c r="M54" s="80">
        <v>200</v>
      </c>
      <c r="N54" s="80">
        <v>180</v>
      </c>
      <c r="O54" s="80">
        <v>180</v>
      </c>
      <c r="P54" s="80">
        <v>180</v>
      </c>
      <c r="Q54" s="80">
        <v>180</v>
      </c>
      <c r="R54" s="80">
        <v>200</v>
      </c>
      <c r="S54" s="80">
        <v>200</v>
      </c>
      <c r="T54" s="80">
        <v>200</v>
      </c>
      <c r="U54" s="80">
        <v>200</v>
      </c>
      <c r="V54" s="80">
        <v>200</v>
      </c>
      <c r="W54" s="80">
        <v>300</v>
      </c>
      <c r="X54" s="80">
        <v>300</v>
      </c>
      <c r="Y54" s="80">
        <v>180</v>
      </c>
      <c r="Z54" s="80">
        <v>200</v>
      </c>
      <c r="AA54" s="80">
        <v>300</v>
      </c>
      <c r="AB54" s="80">
        <v>200</v>
      </c>
      <c r="AC54" s="80">
        <v>200</v>
      </c>
      <c r="AD54" s="80">
        <v>300</v>
      </c>
      <c r="AE54" s="80">
        <v>200</v>
      </c>
    </row>
    <row r="55" spans="2:31" ht="15.75">
      <c r="B55" s="102">
        <v>24</v>
      </c>
      <c r="C55" s="102"/>
      <c r="D55" s="115" t="s">
        <v>523</v>
      </c>
      <c r="E55" s="80" t="s">
        <v>540</v>
      </c>
      <c r="F55" s="80" t="s">
        <v>540</v>
      </c>
      <c r="G55" s="80" t="s">
        <v>540</v>
      </c>
      <c r="H55" s="80" t="s">
        <v>540</v>
      </c>
      <c r="I55" s="80" t="s">
        <v>540</v>
      </c>
      <c r="J55" s="80" t="s">
        <v>540</v>
      </c>
      <c r="K55" s="80" t="s">
        <v>540</v>
      </c>
      <c r="L55" s="80" t="s">
        <v>540</v>
      </c>
      <c r="M55" s="80" t="s">
        <v>540</v>
      </c>
      <c r="N55" s="81" t="s">
        <v>582</v>
      </c>
      <c r="O55" s="81" t="s">
        <v>582</v>
      </c>
      <c r="P55" s="81" t="s">
        <v>582</v>
      </c>
      <c r="Q55" s="81" t="s">
        <v>582</v>
      </c>
      <c r="R55" s="80" t="s">
        <v>540</v>
      </c>
      <c r="S55" s="80" t="s">
        <v>540</v>
      </c>
      <c r="T55" s="80" t="s">
        <v>540</v>
      </c>
      <c r="U55" s="80" t="s">
        <v>540</v>
      </c>
      <c r="V55" s="80" t="s">
        <v>602</v>
      </c>
      <c r="W55" s="80" t="s">
        <v>540</v>
      </c>
      <c r="X55" s="80" t="s">
        <v>540</v>
      </c>
      <c r="Y55" s="80" t="s">
        <v>611</v>
      </c>
      <c r="Z55" s="80" t="s">
        <v>540</v>
      </c>
      <c r="AA55" s="80" t="s">
        <v>540</v>
      </c>
      <c r="AB55" s="80" t="s">
        <v>540</v>
      </c>
      <c r="AC55" s="80" t="s">
        <v>540</v>
      </c>
      <c r="AD55" s="80" t="s">
        <v>540</v>
      </c>
      <c r="AE55" s="80" t="s">
        <v>622</v>
      </c>
    </row>
    <row r="56" spans="2:31" ht="16.5" thickBot="1">
      <c r="B56" s="102">
        <v>25</v>
      </c>
      <c r="C56" s="102"/>
      <c r="D56" s="116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4"/>
    </row>
    <row r="57" spans="2:31" ht="15.75">
      <c r="B57" s="102">
        <v>26</v>
      </c>
      <c r="C57" s="102"/>
      <c r="D57" s="61" t="s">
        <v>526</v>
      </c>
      <c r="E57" s="80" t="s">
        <v>541</v>
      </c>
      <c r="F57" s="80" t="s">
        <v>541</v>
      </c>
      <c r="G57" s="80" t="s">
        <v>541</v>
      </c>
      <c r="H57" s="80" t="s">
        <v>541</v>
      </c>
      <c r="I57" s="80" t="s">
        <v>541</v>
      </c>
      <c r="J57" s="80" t="s">
        <v>541</v>
      </c>
      <c r="K57" s="80" t="s">
        <v>541</v>
      </c>
      <c r="L57" s="80" t="s">
        <v>541</v>
      </c>
      <c r="M57" s="80" t="s">
        <v>541</v>
      </c>
      <c r="N57" s="80" t="s">
        <v>583</v>
      </c>
      <c r="O57" s="80" t="s">
        <v>583</v>
      </c>
      <c r="P57" s="80" t="s">
        <v>583</v>
      </c>
      <c r="Q57" s="80" t="s">
        <v>583</v>
      </c>
      <c r="R57" s="80" t="s">
        <v>541</v>
      </c>
      <c r="S57" s="80" t="s">
        <v>596</v>
      </c>
      <c r="T57" s="80" t="s">
        <v>596</v>
      </c>
      <c r="U57" s="80" t="s">
        <v>596</v>
      </c>
      <c r="V57" s="80" t="s">
        <v>546</v>
      </c>
      <c r="W57" s="80" t="s">
        <v>541</v>
      </c>
      <c r="X57" s="80" t="s">
        <v>541</v>
      </c>
      <c r="Y57" s="80" t="s">
        <v>612</v>
      </c>
      <c r="Z57" s="80" t="s">
        <v>541</v>
      </c>
      <c r="AA57" s="80" t="s">
        <v>541</v>
      </c>
      <c r="AB57" s="80" t="s">
        <v>541</v>
      </c>
      <c r="AC57" s="80" t="s">
        <v>541</v>
      </c>
      <c r="AD57" s="80" t="s">
        <v>541</v>
      </c>
      <c r="AE57" s="80" t="s">
        <v>623</v>
      </c>
    </row>
    <row r="58" spans="2:31" ht="16.5" thickBot="1">
      <c r="B58" s="102">
        <v>27</v>
      </c>
      <c r="C58" s="102"/>
      <c r="D58" s="116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</row>
    <row r="59" spans="2:31" ht="16.5" thickBot="1">
      <c r="B59" s="102">
        <v>28</v>
      </c>
      <c r="C59" s="102"/>
      <c r="D59" s="117" t="s">
        <v>528</v>
      </c>
      <c r="E59" s="79"/>
      <c r="F59" s="79"/>
      <c r="G59" s="79"/>
      <c r="H59" s="79"/>
      <c r="I59" s="79"/>
      <c r="J59" s="79"/>
      <c r="K59" s="79"/>
      <c r="L59" s="79"/>
      <c r="M59" s="79"/>
      <c r="N59" s="79" t="s">
        <v>584</v>
      </c>
      <c r="O59" s="79" t="s">
        <v>584</v>
      </c>
      <c r="P59" s="79" t="s">
        <v>584</v>
      </c>
      <c r="Q59" s="79" t="s">
        <v>584</v>
      </c>
      <c r="R59" s="79"/>
      <c r="S59" s="79"/>
      <c r="T59" s="79"/>
      <c r="U59" s="79"/>
      <c r="V59" s="79"/>
      <c r="W59" s="79"/>
      <c r="X59" s="79"/>
      <c r="Y59" s="79" t="s">
        <v>610</v>
      </c>
      <c r="Z59" s="79"/>
      <c r="AA59" s="79"/>
      <c r="AB59" s="79"/>
      <c r="AC59" s="79"/>
      <c r="AD59" s="79"/>
      <c r="AE59" s="104" t="s">
        <v>624</v>
      </c>
    </row>
    <row r="60" spans="2:31" ht="32.25" thickBot="1">
      <c r="B60" s="102"/>
      <c r="C60" s="102"/>
      <c r="D60" s="106" t="s">
        <v>542</v>
      </c>
      <c r="E60" s="87" t="s">
        <v>493</v>
      </c>
      <c r="F60" s="88" t="s">
        <v>36</v>
      </c>
      <c r="G60" s="87" t="s">
        <v>38</v>
      </c>
      <c r="H60" s="87" t="s">
        <v>40</v>
      </c>
      <c r="I60" s="87" t="s">
        <v>42</v>
      </c>
      <c r="J60" s="87" t="s">
        <v>44</v>
      </c>
      <c r="K60" s="87" t="s">
        <v>45</v>
      </c>
      <c r="L60" s="87" t="s">
        <v>47</v>
      </c>
      <c r="M60" s="87" t="s">
        <v>49</v>
      </c>
      <c r="N60" s="75" t="s">
        <v>491</v>
      </c>
      <c r="O60" s="75" t="s">
        <v>27</v>
      </c>
      <c r="P60" s="75" t="s">
        <v>29</v>
      </c>
      <c r="Q60" s="75" t="s">
        <v>492</v>
      </c>
      <c r="R60" s="75" t="s">
        <v>51</v>
      </c>
      <c r="S60" s="75" t="s">
        <v>52</v>
      </c>
      <c r="T60" s="75" t="s">
        <v>53</v>
      </c>
      <c r="U60" s="75" t="s">
        <v>54</v>
      </c>
      <c r="V60" s="75" t="s">
        <v>55</v>
      </c>
      <c r="W60" s="75" t="s">
        <v>58</v>
      </c>
      <c r="X60" s="75" t="s">
        <v>60</v>
      </c>
      <c r="Y60" s="75" t="s">
        <v>62</v>
      </c>
      <c r="Z60" s="75" t="s">
        <v>65</v>
      </c>
      <c r="AA60" s="75" t="s">
        <v>67</v>
      </c>
      <c r="AB60" s="75" t="s">
        <v>68</v>
      </c>
      <c r="AC60" s="75" t="s">
        <v>70</v>
      </c>
      <c r="AD60" s="75" t="s">
        <v>71</v>
      </c>
      <c r="AE60" s="75" t="s">
        <v>620</v>
      </c>
    </row>
    <row r="61" spans="2:31" ht="13.5" thickBot="1">
      <c r="B61" s="102">
        <v>1</v>
      </c>
      <c r="C61" s="55">
        <v>5</v>
      </c>
      <c r="D61" s="50" t="s">
        <v>625</v>
      </c>
      <c r="E61" s="80" t="s">
        <v>536</v>
      </c>
      <c r="F61" s="80" t="s">
        <v>536</v>
      </c>
      <c r="G61" s="80" t="s">
        <v>536</v>
      </c>
      <c r="H61" s="80" t="s">
        <v>536</v>
      </c>
      <c r="I61" s="80" t="s">
        <v>536</v>
      </c>
      <c r="J61" s="80" t="s">
        <v>536</v>
      </c>
      <c r="K61" s="80" t="s">
        <v>536</v>
      </c>
      <c r="L61" s="80" t="s">
        <v>536</v>
      </c>
      <c r="M61" s="80" t="s">
        <v>536</v>
      </c>
      <c r="N61" s="80" t="s">
        <v>581</v>
      </c>
      <c r="O61" s="80" t="s">
        <v>581</v>
      </c>
      <c r="P61" s="80" t="s">
        <v>581</v>
      </c>
      <c r="Q61" s="80" t="s">
        <v>581</v>
      </c>
      <c r="R61" s="80" t="s">
        <v>536</v>
      </c>
      <c r="S61" s="80" t="s">
        <v>536</v>
      </c>
      <c r="T61" s="80" t="s">
        <v>536</v>
      </c>
      <c r="U61" s="80" t="s">
        <v>536</v>
      </c>
      <c r="V61" s="80" t="s">
        <v>536</v>
      </c>
      <c r="W61" s="80" t="s">
        <v>536</v>
      </c>
      <c r="X61" s="80" t="s">
        <v>536</v>
      </c>
      <c r="Y61" s="80" t="s">
        <v>374</v>
      </c>
      <c r="Z61" s="80" t="s">
        <v>536</v>
      </c>
      <c r="AA61" s="80" t="s">
        <v>374</v>
      </c>
      <c r="AB61" s="80" t="s">
        <v>536</v>
      </c>
      <c r="AC61" s="80" t="s">
        <v>536</v>
      </c>
      <c r="AD61" s="80" t="s">
        <v>341</v>
      </c>
      <c r="AE61" s="76"/>
    </row>
    <row r="62" spans="2:31" ht="12.75">
      <c r="B62" s="102">
        <v>2</v>
      </c>
      <c r="C62" s="50">
        <v>4</v>
      </c>
      <c r="D62" s="50" t="s">
        <v>626</v>
      </c>
      <c r="E62" s="84" t="s">
        <v>535</v>
      </c>
      <c r="F62" s="84" t="s">
        <v>535</v>
      </c>
      <c r="G62" s="84" t="s">
        <v>535</v>
      </c>
      <c r="H62" s="84" t="s">
        <v>535</v>
      </c>
      <c r="I62" s="84" t="s">
        <v>535</v>
      </c>
      <c r="J62" s="84" t="s">
        <v>535</v>
      </c>
      <c r="K62" s="84" t="s">
        <v>535</v>
      </c>
      <c r="L62" s="84" t="s">
        <v>535</v>
      </c>
      <c r="M62" s="84" t="s">
        <v>535</v>
      </c>
      <c r="N62" s="84" t="s">
        <v>532</v>
      </c>
      <c r="O62" s="84" t="s">
        <v>532</v>
      </c>
      <c r="P62" s="84" t="s">
        <v>532</v>
      </c>
      <c r="Q62" s="84" t="s">
        <v>532</v>
      </c>
      <c r="R62" s="84" t="s">
        <v>532</v>
      </c>
      <c r="S62" s="84" t="s">
        <v>532</v>
      </c>
      <c r="T62" s="84" t="s">
        <v>532</v>
      </c>
      <c r="U62" s="84" t="s">
        <v>532</v>
      </c>
      <c r="V62" s="84" t="s">
        <v>532</v>
      </c>
      <c r="W62" s="84" t="s">
        <v>535</v>
      </c>
      <c r="X62" s="84" t="s">
        <v>535</v>
      </c>
      <c r="Y62" s="84" t="s">
        <v>536</v>
      </c>
      <c r="Z62" s="84" t="s">
        <v>535</v>
      </c>
      <c r="AA62" s="84" t="s">
        <v>536</v>
      </c>
      <c r="AB62" s="84" t="s">
        <v>535</v>
      </c>
      <c r="AC62" s="84" t="s">
        <v>535</v>
      </c>
      <c r="AD62" s="80" t="s">
        <v>536</v>
      </c>
      <c r="AE62" s="77" t="s">
        <v>533</v>
      </c>
    </row>
    <row r="63" spans="2:31" ht="12.75">
      <c r="B63" s="102">
        <v>3</v>
      </c>
      <c r="C63" s="50">
        <v>5</v>
      </c>
      <c r="D63" s="50" t="s">
        <v>625</v>
      </c>
      <c r="E63" s="84" t="s">
        <v>537</v>
      </c>
      <c r="F63" s="84" t="s">
        <v>537</v>
      </c>
      <c r="G63" s="84" t="s">
        <v>537</v>
      </c>
      <c r="H63" s="84" t="s">
        <v>537</v>
      </c>
      <c r="I63" s="84" t="s">
        <v>537</v>
      </c>
      <c r="J63" s="84" t="s">
        <v>537</v>
      </c>
      <c r="K63" s="84" t="s">
        <v>537</v>
      </c>
      <c r="L63" s="84" t="s">
        <v>537</v>
      </c>
      <c r="M63" s="84" t="s">
        <v>537</v>
      </c>
      <c r="N63" s="84" t="s">
        <v>537</v>
      </c>
      <c r="O63" s="84" t="s">
        <v>537</v>
      </c>
      <c r="P63" s="84" t="s">
        <v>537</v>
      </c>
      <c r="Q63" s="84" t="s">
        <v>537</v>
      </c>
      <c r="R63" s="84" t="s">
        <v>537</v>
      </c>
      <c r="S63" s="84" t="s">
        <v>537</v>
      </c>
      <c r="T63" s="84" t="s">
        <v>537</v>
      </c>
      <c r="U63" s="84" t="s">
        <v>537</v>
      </c>
      <c r="V63" s="84" t="s">
        <v>537</v>
      </c>
      <c r="W63" s="84" t="s">
        <v>537</v>
      </c>
      <c r="X63" s="84" t="s">
        <v>537</v>
      </c>
      <c r="Y63" s="84" t="s">
        <v>537</v>
      </c>
      <c r="Z63" s="84" t="s">
        <v>537</v>
      </c>
      <c r="AA63" s="84" t="s">
        <v>537</v>
      </c>
      <c r="AB63" s="84" t="s">
        <v>537</v>
      </c>
      <c r="AC63" s="84" t="s">
        <v>537</v>
      </c>
      <c r="AD63" s="84" t="s">
        <v>543</v>
      </c>
      <c r="AE63" s="77"/>
    </row>
    <row r="64" spans="2:31" ht="12.75">
      <c r="B64" s="102">
        <v>4</v>
      </c>
      <c r="C64" s="50">
        <v>4</v>
      </c>
      <c r="D64" s="50" t="s">
        <v>626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 t="s">
        <v>374</v>
      </c>
      <c r="T64" s="84" t="s">
        <v>374</v>
      </c>
      <c r="U64" s="84"/>
      <c r="V64" s="84"/>
      <c r="W64" s="84"/>
      <c r="X64" s="84"/>
      <c r="Y64" s="95" t="s">
        <v>538</v>
      </c>
      <c r="Z64" s="84"/>
      <c r="AA64" s="84"/>
      <c r="AB64" s="84"/>
      <c r="AC64" s="84"/>
      <c r="AD64" s="84"/>
      <c r="AE64" s="77"/>
    </row>
    <row r="65" spans="2:31" ht="13.5" thickBot="1">
      <c r="B65" s="102">
        <v>5</v>
      </c>
      <c r="C65" s="102"/>
      <c r="D65" s="50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78"/>
    </row>
    <row r="66" spans="2:31" ht="15">
      <c r="B66" s="102">
        <v>6</v>
      </c>
      <c r="C66" s="102">
        <v>2</v>
      </c>
      <c r="D66" s="112" t="s">
        <v>515</v>
      </c>
      <c r="E66" s="80" t="s">
        <v>374</v>
      </c>
      <c r="F66" s="80" t="s">
        <v>374</v>
      </c>
      <c r="G66" s="80" t="s">
        <v>374</v>
      </c>
      <c r="H66" s="80" t="s">
        <v>374</v>
      </c>
      <c r="I66" s="80" t="s">
        <v>374</v>
      </c>
      <c r="J66" s="80" t="s">
        <v>374</v>
      </c>
      <c r="K66" s="80" t="s">
        <v>374</v>
      </c>
      <c r="L66" s="80" t="s">
        <v>374</v>
      </c>
      <c r="M66" s="80" t="s">
        <v>374</v>
      </c>
      <c r="N66" s="80" t="s">
        <v>374</v>
      </c>
      <c r="O66" s="80" t="s">
        <v>374</v>
      </c>
      <c r="P66" s="80" t="s">
        <v>374</v>
      </c>
      <c r="Q66" s="80" t="s">
        <v>374</v>
      </c>
      <c r="R66" s="80" t="s">
        <v>374</v>
      </c>
      <c r="S66" s="80" t="s">
        <v>395</v>
      </c>
      <c r="T66" s="80" t="s">
        <v>395</v>
      </c>
      <c r="U66" s="80" t="s">
        <v>374</v>
      </c>
      <c r="V66" s="80" t="s">
        <v>374</v>
      </c>
      <c r="W66" s="80" t="s">
        <v>374</v>
      </c>
      <c r="X66" s="80" t="s">
        <v>374</v>
      </c>
      <c r="Y66" s="80" t="s">
        <v>395</v>
      </c>
      <c r="Z66" s="80" t="s">
        <v>341</v>
      </c>
      <c r="AA66" s="80"/>
      <c r="AB66" s="80" t="s">
        <v>374</v>
      </c>
      <c r="AC66" s="80" t="s">
        <v>577</v>
      </c>
      <c r="AD66" s="80" t="s">
        <v>374</v>
      </c>
      <c r="AE66" s="76" t="s">
        <v>374</v>
      </c>
    </row>
    <row r="67" spans="2:31" ht="15">
      <c r="B67" s="102">
        <v>7</v>
      </c>
      <c r="C67" s="102"/>
      <c r="D67" s="113"/>
      <c r="E67" s="84" t="s">
        <v>543</v>
      </c>
      <c r="F67" s="84" t="s">
        <v>543</v>
      </c>
      <c r="G67" s="84" t="s">
        <v>543</v>
      </c>
      <c r="H67" s="84" t="s">
        <v>543</v>
      </c>
      <c r="I67" s="84" t="s">
        <v>543</v>
      </c>
      <c r="J67" s="84" t="s">
        <v>543</v>
      </c>
      <c r="K67" s="84" t="s">
        <v>543</v>
      </c>
      <c r="L67" s="84" t="s">
        <v>543</v>
      </c>
      <c r="M67" s="84" t="s">
        <v>543</v>
      </c>
      <c r="N67" s="84" t="s">
        <v>367</v>
      </c>
      <c r="O67" s="84" t="s">
        <v>367</v>
      </c>
      <c r="P67" s="84" t="s">
        <v>367</v>
      </c>
      <c r="Q67" s="84" t="s">
        <v>367</v>
      </c>
      <c r="R67" s="84" t="s">
        <v>543</v>
      </c>
      <c r="S67" s="84" t="s">
        <v>543</v>
      </c>
      <c r="T67" s="84" t="s">
        <v>543</v>
      </c>
      <c r="U67" s="84" t="s">
        <v>543</v>
      </c>
      <c r="V67" s="84" t="s">
        <v>543</v>
      </c>
      <c r="W67" s="84" t="s">
        <v>543</v>
      </c>
      <c r="X67" s="84" t="s">
        <v>543</v>
      </c>
      <c r="Y67" s="84" t="s">
        <v>543</v>
      </c>
      <c r="Z67" s="84" t="s">
        <v>543</v>
      </c>
      <c r="AA67" s="84" t="s">
        <v>543</v>
      </c>
      <c r="AB67" s="84" t="s">
        <v>543</v>
      </c>
      <c r="AC67" s="84" t="s">
        <v>543</v>
      </c>
      <c r="AD67" s="84" t="s">
        <v>577</v>
      </c>
      <c r="AE67" s="77" t="s">
        <v>543</v>
      </c>
    </row>
    <row r="68" spans="2:31" ht="15.75" thickBot="1">
      <c r="B68" s="102">
        <v>8</v>
      </c>
      <c r="C68" s="102"/>
      <c r="D68" s="114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78"/>
    </row>
    <row r="69" spans="2:31" ht="15">
      <c r="B69" s="102">
        <v>9</v>
      </c>
      <c r="C69" s="102">
        <v>4</v>
      </c>
      <c r="D69" s="112" t="s">
        <v>516</v>
      </c>
      <c r="E69" s="80" t="s">
        <v>517</v>
      </c>
      <c r="F69" s="80" t="s">
        <v>347</v>
      </c>
      <c r="G69" s="80" t="s">
        <v>365</v>
      </c>
      <c r="H69" s="80" t="s">
        <v>517</v>
      </c>
      <c r="I69" s="80" t="s">
        <v>347</v>
      </c>
      <c r="J69" s="80" t="s">
        <v>358</v>
      </c>
      <c r="K69" s="80" t="s">
        <v>340</v>
      </c>
      <c r="L69" s="80" t="s">
        <v>520</v>
      </c>
      <c r="M69" s="80" t="s">
        <v>347</v>
      </c>
      <c r="N69" s="80" t="s">
        <v>348</v>
      </c>
      <c r="O69" s="80" t="s">
        <v>348</v>
      </c>
      <c r="P69" s="80" t="s">
        <v>348</v>
      </c>
      <c r="Q69" s="80" t="s">
        <v>348</v>
      </c>
      <c r="R69" s="80" t="s">
        <v>520</v>
      </c>
      <c r="S69" s="80" t="s">
        <v>365</v>
      </c>
      <c r="T69" s="80" t="s">
        <v>365</v>
      </c>
      <c r="U69" s="80" t="s">
        <v>365</v>
      </c>
      <c r="V69" s="80" t="s">
        <v>365</v>
      </c>
      <c r="W69" s="80" t="s">
        <v>347</v>
      </c>
      <c r="X69" s="80" t="s">
        <v>347</v>
      </c>
      <c r="Y69" s="80" t="s">
        <v>365</v>
      </c>
      <c r="Z69" s="80" t="s">
        <v>347</v>
      </c>
      <c r="AA69" s="80" t="s">
        <v>365</v>
      </c>
      <c r="AB69" s="80" t="s">
        <v>396</v>
      </c>
      <c r="AC69" s="80" t="s">
        <v>365</v>
      </c>
      <c r="AD69" s="80" t="s">
        <v>365</v>
      </c>
      <c r="AE69" s="76" t="s">
        <v>621</v>
      </c>
    </row>
    <row r="70" spans="2:31" ht="15">
      <c r="B70" s="102">
        <v>10</v>
      </c>
      <c r="C70" s="102"/>
      <c r="D70" s="113"/>
      <c r="E70" s="84" t="s">
        <v>389</v>
      </c>
      <c r="F70" s="84" t="s">
        <v>350</v>
      </c>
      <c r="G70" s="84" t="s">
        <v>340</v>
      </c>
      <c r="H70" s="84" t="s">
        <v>340</v>
      </c>
      <c r="I70" s="84" t="s">
        <v>340</v>
      </c>
      <c r="J70" s="84" t="s">
        <v>347</v>
      </c>
      <c r="K70" s="84" t="s">
        <v>347</v>
      </c>
      <c r="L70" s="84" t="s">
        <v>340</v>
      </c>
      <c r="M70" s="84" t="s">
        <v>340</v>
      </c>
      <c r="N70" s="84" t="s">
        <v>340</v>
      </c>
      <c r="O70" s="84" t="s">
        <v>340</v>
      </c>
      <c r="P70" s="84" t="s">
        <v>340</v>
      </c>
      <c r="Q70" s="84" t="s">
        <v>340</v>
      </c>
      <c r="R70" s="84" t="s">
        <v>340</v>
      </c>
      <c r="S70" s="84" t="s">
        <v>340</v>
      </c>
      <c r="T70" s="84" t="s">
        <v>340</v>
      </c>
      <c r="U70" s="84" t="s">
        <v>340</v>
      </c>
      <c r="V70" s="84" t="s">
        <v>340</v>
      </c>
      <c r="W70" s="84" t="s">
        <v>358</v>
      </c>
      <c r="X70" s="84" t="s">
        <v>358</v>
      </c>
      <c r="Y70" s="84" t="s">
        <v>391</v>
      </c>
      <c r="Z70" s="84" t="s">
        <v>396</v>
      </c>
      <c r="AA70" s="84" t="s">
        <v>340</v>
      </c>
      <c r="AB70" s="84" t="s">
        <v>347</v>
      </c>
      <c r="AC70" s="84" t="s">
        <v>340</v>
      </c>
      <c r="AD70" s="84" t="s">
        <v>340</v>
      </c>
      <c r="AE70" s="77" t="s">
        <v>344</v>
      </c>
    </row>
    <row r="71" spans="2:31" ht="15.75" thickBot="1">
      <c r="B71" s="102">
        <v>11</v>
      </c>
      <c r="C71" s="102"/>
      <c r="D71" s="114"/>
      <c r="E71" s="83" t="s">
        <v>350</v>
      </c>
      <c r="F71" s="83" t="s">
        <v>340</v>
      </c>
      <c r="G71" s="83" t="s">
        <v>350</v>
      </c>
      <c r="H71" s="83" t="s">
        <v>350</v>
      </c>
      <c r="I71" s="83" t="s">
        <v>350</v>
      </c>
      <c r="J71" s="83" t="s">
        <v>350</v>
      </c>
      <c r="K71" s="83" t="s">
        <v>350</v>
      </c>
      <c r="L71" s="83" t="s">
        <v>350</v>
      </c>
      <c r="M71" s="83" t="s">
        <v>350</v>
      </c>
      <c r="N71" s="83" t="s">
        <v>350</v>
      </c>
      <c r="O71" s="83" t="s">
        <v>350</v>
      </c>
      <c r="P71" s="83" t="s">
        <v>350</v>
      </c>
      <c r="Q71" s="83" t="s">
        <v>350</v>
      </c>
      <c r="R71" s="83" t="s">
        <v>350</v>
      </c>
      <c r="S71" s="83" t="s">
        <v>350</v>
      </c>
      <c r="T71" s="83" t="s">
        <v>350</v>
      </c>
      <c r="U71" s="83" t="s">
        <v>350</v>
      </c>
      <c r="V71" s="83" t="s">
        <v>350</v>
      </c>
      <c r="W71" s="83" t="s">
        <v>350</v>
      </c>
      <c r="X71" s="83" t="s">
        <v>350</v>
      </c>
      <c r="Y71" s="83" t="s">
        <v>350</v>
      </c>
      <c r="Z71" s="83" t="s">
        <v>350</v>
      </c>
      <c r="AA71" s="83" t="s">
        <v>350</v>
      </c>
      <c r="AB71" s="83" t="s">
        <v>350</v>
      </c>
      <c r="AC71" s="83" t="s">
        <v>350</v>
      </c>
      <c r="AD71" s="83" t="s">
        <v>350</v>
      </c>
      <c r="AE71" s="78" t="s">
        <v>360</v>
      </c>
    </row>
    <row r="72" spans="2:31" ht="15">
      <c r="B72" s="102">
        <v>12</v>
      </c>
      <c r="C72" s="102">
        <v>3</v>
      </c>
      <c r="D72" s="112" t="s">
        <v>519</v>
      </c>
      <c r="E72" s="80" t="s">
        <v>520</v>
      </c>
      <c r="F72" s="80" t="s">
        <v>520</v>
      </c>
      <c r="G72" s="80" t="s">
        <v>358</v>
      </c>
      <c r="H72" s="80" t="s">
        <v>520</v>
      </c>
      <c r="I72" s="80" t="s">
        <v>520</v>
      </c>
      <c r="J72" s="80" t="s">
        <v>520</v>
      </c>
      <c r="K72" s="80" t="s">
        <v>520</v>
      </c>
      <c r="L72" s="80" t="s">
        <v>347</v>
      </c>
      <c r="M72" s="80" t="s">
        <v>520</v>
      </c>
      <c r="N72" s="80" t="s">
        <v>391</v>
      </c>
      <c r="O72" s="80" t="s">
        <v>391</v>
      </c>
      <c r="P72" s="80" t="s">
        <v>347</v>
      </c>
      <c r="Q72" s="80" t="s">
        <v>391</v>
      </c>
      <c r="R72" s="80" t="s">
        <v>380</v>
      </c>
      <c r="S72" s="80" t="s">
        <v>347</v>
      </c>
      <c r="T72" s="80" t="s">
        <v>347</v>
      </c>
      <c r="U72" s="80" t="s">
        <v>377</v>
      </c>
      <c r="V72" s="80" t="s">
        <v>377</v>
      </c>
      <c r="W72" s="80" t="s">
        <v>520</v>
      </c>
      <c r="X72" s="80" t="s">
        <v>520</v>
      </c>
      <c r="Y72" s="80" t="s">
        <v>348</v>
      </c>
      <c r="Z72" s="80" t="s">
        <v>520</v>
      </c>
      <c r="AA72" s="80" t="s">
        <v>358</v>
      </c>
      <c r="AB72" s="80" t="s">
        <v>517</v>
      </c>
      <c r="AC72" s="80" t="s">
        <v>347</v>
      </c>
      <c r="AD72" s="80" t="s">
        <v>586</v>
      </c>
      <c r="AE72" s="76" t="s">
        <v>355</v>
      </c>
    </row>
    <row r="73" spans="2:31" ht="15">
      <c r="B73" s="102">
        <v>13</v>
      </c>
      <c r="C73" s="102"/>
      <c r="D73" s="113"/>
      <c r="E73" s="84" t="s">
        <v>544</v>
      </c>
      <c r="F73" s="84" t="s">
        <v>586</v>
      </c>
      <c r="G73" s="84" t="s">
        <v>391</v>
      </c>
      <c r="H73" s="84" t="s">
        <v>396</v>
      </c>
      <c r="I73" s="84" t="s">
        <v>586</v>
      </c>
      <c r="J73" s="84" t="s">
        <v>586</v>
      </c>
      <c r="K73" s="84" t="s">
        <v>358</v>
      </c>
      <c r="L73" s="84" t="s">
        <v>358</v>
      </c>
      <c r="M73" s="84" t="s">
        <v>586</v>
      </c>
      <c r="N73" s="84" t="s">
        <v>362</v>
      </c>
      <c r="O73" s="84" t="s">
        <v>362</v>
      </c>
      <c r="P73" s="84" t="s">
        <v>362</v>
      </c>
      <c r="Q73" s="84" t="s">
        <v>362</v>
      </c>
      <c r="R73" s="84" t="s">
        <v>358</v>
      </c>
      <c r="S73" s="84" t="s">
        <v>348</v>
      </c>
      <c r="T73" s="84" t="s">
        <v>348</v>
      </c>
      <c r="U73" s="84" t="s">
        <v>348</v>
      </c>
      <c r="V73" s="84" t="s">
        <v>348</v>
      </c>
      <c r="W73" s="84" t="s">
        <v>340</v>
      </c>
      <c r="X73" s="84" t="s">
        <v>396</v>
      </c>
      <c r="Y73" s="84" t="s">
        <v>340</v>
      </c>
      <c r="Z73" s="84" t="s">
        <v>340</v>
      </c>
      <c r="AA73" s="84" t="s">
        <v>354</v>
      </c>
      <c r="AB73" s="84" t="s">
        <v>340</v>
      </c>
      <c r="AC73" s="84" t="s">
        <v>586</v>
      </c>
      <c r="AD73" s="84" t="s">
        <v>347</v>
      </c>
      <c r="AE73" s="77" t="s">
        <v>358</v>
      </c>
    </row>
    <row r="74" spans="2:31" ht="15.75" thickBot="1">
      <c r="B74" s="102">
        <v>14</v>
      </c>
      <c r="C74" s="102"/>
      <c r="D74" s="114"/>
      <c r="E74" s="83" t="s">
        <v>377</v>
      </c>
      <c r="F74" s="83" t="s">
        <v>377</v>
      </c>
      <c r="G74" s="83" t="s">
        <v>396</v>
      </c>
      <c r="H74" s="83" t="s">
        <v>391</v>
      </c>
      <c r="I74" s="83" t="s">
        <v>377</v>
      </c>
      <c r="J74" s="83" t="s">
        <v>377</v>
      </c>
      <c r="K74" s="83" t="s">
        <v>377</v>
      </c>
      <c r="L74" s="83" t="s">
        <v>586</v>
      </c>
      <c r="M74" s="83" t="s">
        <v>365</v>
      </c>
      <c r="N74" s="83" t="s">
        <v>586</v>
      </c>
      <c r="O74" s="83" t="s">
        <v>396</v>
      </c>
      <c r="P74" s="83" t="s">
        <v>586</v>
      </c>
      <c r="Q74" s="83" t="s">
        <v>586</v>
      </c>
      <c r="R74" s="83" t="s">
        <v>586</v>
      </c>
      <c r="S74" s="83" t="s">
        <v>586</v>
      </c>
      <c r="T74" s="83" t="s">
        <v>586</v>
      </c>
      <c r="U74" s="83" t="s">
        <v>586</v>
      </c>
      <c r="V74" s="83" t="s">
        <v>586</v>
      </c>
      <c r="W74" s="137" t="s">
        <v>558</v>
      </c>
      <c r="X74" s="137" t="s">
        <v>558</v>
      </c>
      <c r="Y74" s="83" t="s">
        <v>173</v>
      </c>
      <c r="Z74" s="83" t="s">
        <v>377</v>
      </c>
      <c r="AA74" s="83" t="s">
        <v>391</v>
      </c>
      <c r="AB74" s="83" t="s">
        <v>377</v>
      </c>
      <c r="AC74" s="83" t="s">
        <v>391</v>
      </c>
      <c r="AD74" s="83" t="s">
        <v>517</v>
      </c>
      <c r="AE74" s="78" t="s">
        <v>364</v>
      </c>
    </row>
    <row r="75" spans="2:31" ht="15">
      <c r="B75" s="102">
        <v>15</v>
      </c>
      <c r="C75" s="102">
        <v>2</v>
      </c>
      <c r="D75" s="112" t="s">
        <v>534</v>
      </c>
      <c r="E75" s="80" t="s">
        <v>347</v>
      </c>
      <c r="F75" s="80" t="s">
        <v>517</v>
      </c>
      <c r="G75" s="80" t="s">
        <v>347</v>
      </c>
      <c r="H75" s="80" t="s">
        <v>347</v>
      </c>
      <c r="I75" s="80" t="s">
        <v>380</v>
      </c>
      <c r="J75" s="80" t="s">
        <v>380</v>
      </c>
      <c r="K75" s="80" t="s">
        <v>380</v>
      </c>
      <c r="L75" s="80" t="s">
        <v>380</v>
      </c>
      <c r="M75" s="80" t="s">
        <v>380</v>
      </c>
      <c r="N75" s="80" t="s">
        <v>587</v>
      </c>
      <c r="O75" s="80" t="s">
        <v>587</v>
      </c>
      <c r="P75" s="80" t="s">
        <v>587</v>
      </c>
      <c r="Q75" s="80" t="s">
        <v>587</v>
      </c>
      <c r="R75" s="80" t="s">
        <v>347</v>
      </c>
      <c r="S75" s="80" t="s">
        <v>380</v>
      </c>
      <c r="T75" s="80" t="s">
        <v>380</v>
      </c>
      <c r="U75" s="80" t="s">
        <v>372</v>
      </c>
      <c r="V75" s="80" t="s">
        <v>372</v>
      </c>
      <c r="W75" s="80" t="s">
        <v>380</v>
      </c>
      <c r="X75" s="80" t="s">
        <v>380</v>
      </c>
      <c r="Y75" s="80" t="s">
        <v>362</v>
      </c>
      <c r="Z75" s="80" t="s">
        <v>347</v>
      </c>
      <c r="AA75" s="80" t="s">
        <v>347</v>
      </c>
      <c r="AB75" s="80" t="s">
        <v>372</v>
      </c>
      <c r="AC75" s="80" t="s">
        <v>517</v>
      </c>
      <c r="AD75" s="80" t="s">
        <v>391</v>
      </c>
      <c r="AE75" s="76" t="s">
        <v>539</v>
      </c>
    </row>
    <row r="76" spans="2:31" ht="15">
      <c r="B76" s="102">
        <v>16</v>
      </c>
      <c r="C76" s="102"/>
      <c r="D76" s="113"/>
      <c r="E76" s="84" t="s">
        <v>358</v>
      </c>
      <c r="F76" s="84" t="s">
        <v>358</v>
      </c>
      <c r="G76" s="84" t="s">
        <v>358</v>
      </c>
      <c r="H76" s="84" t="s">
        <v>348</v>
      </c>
      <c r="I76" s="84" t="s">
        <v>358</v>
      </c>
      <c r="J76" s="84" t="s">
        <v>576</v>
      </c>
      <c r="K76" s="84" t="s">
        <v>396</v>
      </c>
      <c r="L76" s="84" t="s">
        <v>377</v>
      </c>
      <c r="M76" s="84" t="s">
        <v>377</v>
      </c>
      <c r="N76" s="84" t="s">
        <v>347</v>
      </c>
      <c r="O76" s="84" t="s">
        <v>347</v>
      </c>
      <c r="P76" s="84" t="s">
        <v>391</v>
      </c>
      <c r="Q76" s="84" t="s">
        <v>347</v>
      </c>
      <c r="R76" s="84" t="s">
        <v>173</v>
      </c>
      <c r="S76" s="84" t="s">
        <v>377</v>
      </c>
      <c r="T76" s="84" t="s">
        <v>377</v>
      </c>
      <c r="U76" s="84" t="s">
        <v>347</v>
      </c>
      <c r="V76" s="84" t="s">
        <v>347</v>
      </c>
      <c r="W76" s="84" t="s">
        <v>396</v>
      </c>
      <c r="X76" s="84" t="s">
        <v>586</v>
      </c>
      <c r="Y76" s="84" t="s">
        <v>396</v>
      </c>
      <c r="Z76" s="84" t="s">
        <v>358</v>
      </c>
      <c r="AA76" s="84" t="s">
        <v>396</v>
      </c>
      <c r="AB76" s="84" t="s">
        <v>358</v>
      </c>
      <c r="AC76" s="84" t="s">
        <v>377</v>
      </c>
      <c r="AD76" s="84" t="s">
        <v>396</v>
      </c>
      <c r="AE76" s="77" t="s">
        <v>384</v>
      </c>
    </row>
    <row r="77" spans="2:31" ht="15.75" thickBot="1">
      <c r="B77" s="102">
        <v>17</v>
      </c>
      <c r="C77" s="102"/>
      <c r="D77" s="114"/>
      <c r="E77" s="83" t="s">
        <v>340</v>
      </c>
      <c r="F77" s="83" t="s">
        <v>355</v>
      </c>
      <c r="G77" s="83" t="s">
        <v>340</v>
      </c>
      <c r="H77" s="83" t="s">
        <v>358</v>
      </c>
      <c r="I77" s="83" t="s">
        <v>393</v>
      </c>
      <c r="J77" s="83" t="s">
        <v>340</v>
      </c>
      <c r="K77" s="83" t="s">
        <v>586</v>
      </c>
      <c r="L77" s="83" t="s">
        <v>558</v>
      </c>
      <c r="M77" s="83" t="s">
        <v>576</v>
      </c>
      <c r="N77" s="83" t="s">
        <v>396</v>
      </c>
      <c r="O77" s="83" t="s">
        <v>586</v>
      </c>
      <c r="P77" s="83" t="s">
        <v>396</v>
      </c>
      <c r="Q77" s="83" t="s">
        <v>396</v>
      </c>
      <c r="R77" s="83" t="s">
        <v>393</v>
      </c>
      <c r="S77" s="83" t="s">
        <v>396</v>
      </c>
      <c r="T77" s="83" t="s">
        <v>396</v>
      </c>
      <c r="U77" s="83" t="s">
        <v>396</v>
      </c>
      <c r="V77" s="83" t="s">
        <v>396</v>
      </c>
      <c r="W77" s="83" t="s">
        <v>586</v>
      </c>
      <c r="X77" s="83" t="s">
        <v>340</v>
      </c>
      <c r="Y77" s="83" t="s">
        <v>586</v>
      </c>
      <c r="Z77" s="83" t="s">
        <v>586</v>
      </c>
      <c r="AA77" s="83" t="s">
        <v>586</v>
      </c>
      <c r="AB77" s="83" t="s">
        <v>586</v>
      </c>
      <c r="AC77" s="83" t="s">
        <v>348</v>
      </c>
      <c r="AD77" s="83" t="s">
        <v>377</v>
      </c>
      <c r="AE77" s="78"/>
    </row>
    <row r="78" spans="2:31" ht="15.75">
      <c r="B78" s="102">
        <v>18</v>
      </c>
      <c r="C78" s="102"/>
      <c r="D78" s="115" t="s">
        <v>521</v>
      </c>
      <c r="E78" s="76" t="s">
        <v>548</v>
      </c>
      <c r="F78" s="76" t="s">
        <v>548</v>
      </c>
      <c r="G78" s="76" t="s">
        <v>548</v>
      </c>
      <c r="H78" s="76" t="s">
        <v>548</v>
      </c>
      <c r="I78" s="76" t="s">
        <v>548</v>
      </c>
      <c r="J78" s="76" t="s">
        <v>548</v>
      </c>
      <c r="K78" s="76" t="s">
        <v>548</v>
      </c>
      <c r="L78" s="76" t="s">
        <v>548</v>
      </c>
      <c r="M78" s="76" t="s">
        <v>548</v>
      </c>
      <c r="N78" s="94"/>
      <c r="O78" s="94"/>
      <c r="P78" s="94"/>
      <c r="Q78" s="94"/>
      <c r="R78" s="76" t="s">
        <v>548</v>
      </c>
      <c r="S78" s="76" t="s">
        <v>548</v>
      </c>
      <c r="T78" s="76" t="s">
        <v>548</v>
      </c>
      <c r="U78" s="76" t="s">
        <v>548</v>
      </c>
      <c r="V78" s="76" t="s">
        <v>548</v>
      </c>
      <c r="W78" s="76" t="s">
        <v>548</v>
      </c>
      <c r="X78" s="76" t="s">
        <v>548</v>
      </c>
      <c r="Y78" s="76"/>
      <c r="Z78" s="76" t="s">
        <v>548</v>
      </c>
      <c r="AA78" s="76"/>
      <c r="AB78" s="76" t="s">
        <v>548</v>
      </c>
      <c r="AC78" s="76" t="s">
        <v>548</v>
      </c>
      <c r="AD78" s="76"/>
      <c r="AE78" s="76"/>
    </row>
    <row r="79" spans="2:31" ht="16.5" thickBot="1">
      <c r="B79" s="102">
        <v>19</v>
      </c>
      <c r="C79" s="102"/>
      <c r="D79" s="116"/>
      <c r="E79" s="83" t="s">
        <v>337</v>
      </c>
      <c r="F79" s="83"/>
      <c r="G79" s="83" t="s">
        <v>337</v>
      </c>
      <c r="H79" s="83"/>
      <c r="I79" s="83"/>
      <c r="J79" s="83" t="s">
        <v>337</v>
      </c>
      <c r="K79" s="83"/>
      <c r="L79" s="83" t="s">
        <v>337</v>
      </c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 t="s">
        <v>337</v>
      </c>
      <c r="Y79" s="83"/>
      <c r="Z79" s="83"/>
      <c r="AA79" s="83"/>
      <c r="AB79" s="83"/>
      <c r="AC79" s="83"/>
      <c r="AD79" s="83"/>
      <c r="AE79" s="78"/>
    </row>
    <row r="80" spans="2:31" ht="16.5" thickBot="1">
      <c r="B80" s="102">
        <v>20</v>
      </c>
      <c r="C80" s="102">
        <v>3</v>
      </c>
      <c r="D80" s="117" t="s">
        <v>545</v>
      </c>
      <c r="E80" s="79" t="s">
        <v>522</v>
      </c>
      <c r="F80" s="79" t="s">
        <v>522</v>
      </c>
      <c r="G80" s="79" t="s">
        <v>522</v>
      </c>
      <c r="H80" s="79" t="s">
        <v>522</v>
      </c>
      <c r="I80" s="79" t="s">
        <v>522</v>
      </c>
      <c r="J80" s="79" t="s">
        <v>522</v>
      </c>
      <c r="K80" s="79" t="s">
        <v>522</v>
      </c>
      <c r="L80" s="79" t="s">
        <v>522</v>
      </c>
      <c r="M80" s="79" t="s">
        <v>522</v>
      </c>
      <c r="N80" s="79" t="s">
        <v>578</v>
      </c>
      <c r="O80" s="79" t="s">
        <v>578</v>
      </c>
      <c r="P80" s="79" t="s">
        <v>578</v>
      </c>
      <c r="Q80" s="79" t="s">
        <v>578</v>
      </c>
      <c r="R80" s="79" t="s">
        <v>594</v>
      </c>
      <c r="S80" s="79" t="s">
        <v>557</v>
      </c>
      <c r="T80" s="79" t="s">
        <v>557</v>
      </c>
      <c r="U80" s="79" t="s">
        <v>601</v>
      </c>
      <c r="V80" s="79" t="s">
        <v>601</v>
      </c>
      <c r="W80" s="79" t="s">
        <v>555</v>
      </c>
      <c r="X80" s="79" t="s">
        <v>560</v>
      </c>
      <c r="Y80" s="79" t="s">
        <v>607</v>
      </c>
      <c r="Z80" s="79" t="s">
        <v>522</v>
      </c>
      <c r="AA80" s="79" t="s">
        <v>614</v>
      </c>
      <c r="AB80" s="79" t="s">
        <v>522</v>
      </c>
      <c r="AC80" s="79" t="s">
        <v>576</v>
      </c>
      <c r="AD80" s="80" t="s">
        <v>576</v>
      </c>
      <c r="AE80" s="79" t="s">
        <v>558</v>
      </c>
    </row>
    <row r="81" spans="2:35" ht="16.5" thickBot="1">
      <c r="B81" s="102">
        <v>21</v>
      </c>
      <c r="C81" s="102">
        <v>1</v>
      </c>
      <c r="D81" s="115" t="s">
        <v>559</v>
      </c>
      <c r="E81" s="80"/>
      <c r="F81" s="80"/>
      <c r="G81" s="80"/>
      <c r="H81" s="80"/>
      <c r="I81" s="80"/>
      <c r="J81" s="80"/>
      <c r="K81" s="138" t="s">
        <v>558</v>
      </c>
      <c r="L81" s="80" t="s">
        <v>557</v>
      </c>
      <c r="M81" s="80"/>
      <c r="N81" s="80" t="s">
        <v>557</v>
      </c>
      <c r="O81" s="80"/>
      <c r="P81" s="80"/>
      <c r="Q81" s="80"/>
      <c r="R81" s="80" t="s">
        <v>557</v>
      </c>
      <c r="S81" s="80"/>
      <c r="T81" s="80"/>
      <c r="U81" s="80" t="s">
        <v>557</v>
      </c>
      <c r="V81" s="80" t="s">
        <v>557</v>
      </c>
      <c r="W81" s="80" t="s">
        <v>522</v>
      </c>
      <c r="X81" s="80" t="s">
        <v>522</v>
      </c>
      <c r="Y81" s="80" t="s">
        <v>560</v>
      </c>
      <c r="Z81" s="80"/>
      <c r="AA81" s="80" t="s">
        <v>522</v>
      </c>
      <c r="AB81" s="80"/>
      <c r="AC81" s="79" t="s">
        <v>522</v>
      </c>
      <c r="AD81" s="80" t="s">
        <v>522</v>
      </c>
      <c r="AE81" s="80"/>
      <c r="AF81" s="68"/>
      <c r="AG81" s="68"/>
      <c r="AH81" s="68"/>
      <c r="AI81" s="68"/>
    </row>
    <row r="82" spans="2:35" ht="16.5" thickBot="1">
      <c r="B82" s="102">
        <v>22</v>
      </c>
      <c r="C82" s="102"/>
      <c r="D82" s="115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68"/>
      <c r="AG82" s="68"/>
      <c r="AH82" s="68"/>
      <c r="AI82" s="68"/>
    </row>
    <row r="83" spans="2:31" ht="16.5" thickBot="1">
      <c r="B83" s="102">
        <v>23</v>
      </c>
      <c r="C83" s="102"/>
      <c r="D83" s="115" t="s">
        <v>525</v>
      </c>
      <c r="E83" s="80">
        <v>100</v>
      </c>
      <c r="F83" s="80">
        <v>100</v>
      </c>
      <c r="G83" s="80">
        <v>100</v>
      </c>
      <c r="H83" s="80">
        <v>100</v>
      </c>
      <c r="I83" s="80">
        <v>100</v>
      </c>
      <c r="J83" s="80">
        <v>100</v>
      </c>
      <c r="K83" s="80">
        <v>100</v>
      </c>
      <c r="L83" s="80">
        <v>100</v>
      </c>
      <c r="M83" s="80">
        <v>100</v>
      </c>
      <c r="N83" s="80">
        <v>80</v>
      </c>
      <c r="O83" s="80">
        <v>80</v>
      </c>
      <c r="P83" s="80">
        <v>80</v>
      </c>
      <c r="Q83" s="80">
        <v>80</v>
      </c>
      <c r="R83" s="80">
        <v>100</v>
      </c>
      <c r="S83" s="80">
        <v>100</v>
      </c>
      <c r="T83" s="80">
        <v>100</v>
      </c>
      <c r="U83" s="80">
        <v>100</v>
      </c>
      <c r="V83" s="80">
        <v>100</v>
      </c>
      <c r="W83" s="80">
        <v>150</v>
      </c>
      <c r="X83" s="80">
        <v>150</v>
      </c>
      <c r="Y83" s="80">
        <v>80</v>
      </c>
      <c r="Z83" s="80">
        <v>100</v>
      </c>
      <c r="AA83" s="80">
        <v>100</v>
      </c>
      <c r="AB83" s="80">
        <v>100</v>
      </c>
      <c r="AC83" s="80">
        <v>100</v>
      </c>
      <c r="AD83" s="80">
        <v>100</v>
      </c>
      <c r="AE83" s="80">
        <v>100</v>
      </c>
    </row>
    <row r="84" spans="2:31" ht="15.75">
      <c r="B84" s="102">
        <v>24</v>
      </c>
      <c r="C84" s="102"/>
      <c r="D84" s="115" t="s">
        <v>523</v>
      </c>
      <c r="E84" s="80" t="s">
        <v>540</v>
      </c>
      <c r="F84" s="80" t="s">
        <v>540</v>
      </c>
      <c r="G84" s="80" t="s">
        <v>540</v>
      </c>
      <c r="H84" s="80" t="s">
        <v>540</v>
      </c>
      <c r="I84" s="80" t="s">
        <v>540</v>
      </c>
      <c r="J84" s="80" t="s">
        <v>540</v>
      </c>
      <c r="K84" s="80" t="s">
        <v>540</v>
      </c>
      <c r="L84" s="80" t="s">
        <v>540</v>
      </c>
      <c r="M84" s="80" t="s">
        <v>540</v>
      </c>
      <c r="N84" s="80" t="s">
        <v>588</v>
      </c>
      <c r="O84" s="80" t="s">
        <v>588</v>
      </c>
      <c r="P84" s="80" t="s">
        <v>588</v>
      </c>
      <c r="Q84" s="80" t="s">
        <v>588</v>
      </c>
      <c r="R84" s="80" t="s">
        <v>540</v>
      </c>
      <c r="S84" s="80" t="s">
        <v>597</v>
      </c>
      <c r="T84" s="80" t="s">
        <v>597</v>
      </c>
      <c r="U84" s="80" t="s">
        <v>597</v>
      </c>
      <c r="V84" s="80" t="s">
        <v>603</v>
      </c>
      <c r="W84" s="80" t="s">
        <v>540</v>
      </c>
      <c r="X84" s="80" t="s">
        <v>540</v>
      </c>
      <c r="Y84" s="80" t="s">
        <v>611</v>
      </c>
      <c r="Z84" s="80" t="s">
        <v>540</v>
      </c>
      <c r="AA84" s="80" t="s">
        <v>616</v>
      </c>
      <c r="AB84" s="80" t="s">
        <v>540</v>
      </c>
      <c r="AC84" s="80" t="s">
        <v>540</v>
      </c>
      <c r="AD84" s="80" t="s">
        <v>618</v>
      </c>
      <c r="AE84" s="80" t="s">
        <v>622</v>
      </c>
    </row>
    <row r="85" spans="2:31" ht="16.5" thickBot="1">
      <c r="B85" s="102">
        <v>25</v>
      </c>
      <c r="C85" s="102"/>
      <c r="D85" s="116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4"/>
    </row>
    <row r="86" spans="2:31" ht="15.75">
      <c r="B86" s="102">
        <v>26</v>
      </c>
      <c r="C86" s="102"/>
      <c r="D86" s="119" t="s">
        <v>526</v>
      </c>
      <c r="E86" s="82" t="s">
        <v>546</v>
      </c>
      <c r="F86" s="82" t="s">
        <v>546</v>
      </c>
      <c r="G86" s="82" t="s">
        <v>546</v>
      </c>
      <c r="H86" s="82" t="s">
        <v>546</v>
      </c>
      <c r="I86" s="82" t="s">
        <v>546</v>
      </c>
      <c r="J86" s="82" t="s">
        <v>546</v>
      </c>
      <c r="K86" s="82" t="s">
        <v>546</v>
      </c>
      <c r="L86" s="82" t="s">
        <v>546</v>
      </c>
      <c r="M86" s="82" t="s">
        <v>546</v>
      </c>
      <c r="N86" s="82" t="s">
        <v>589</v>
      </c>
      <c r="O86" s="82" t="s">
        <v>589</v>
      </c>
      <c r="P86" s="82" t="s">
        <v>589</v>
      </c>
      <c r="Q86" s="82" t="s">
        <v>589</v>
      </c>
      <c r="R86" s="82" t="s">
        <v>546</v>
      </c>
      <c r="S86" s="82" t="s">
        <v>598</v>
      </c>
      <c r="T86" s="82" t="s">
        <v>598</v>
      </c>
      <c r="U86" s="82" t="s">
        <v>598</v>
      </c>
      <c r="V86" s="82" t="s">
        <v>604</v>
      </c>
      <c r="W86" s="82" t="s">
        <v>546</v>
      </c>
      <c r="X86" s="82" t="s">
        <v>546</v>
      </c>
      <c r="Y86" s="82" t="s">
        <v>613</v>
      </c>
      <c r="Z86" s="82" t="s">
        <v>546</v>
      </c>
      <c r="AA86" s="82" t="s">
        <v>617</v>
      </c>
      <c r="AB86" s="82" t="s">
        <v>546</v>
      </c>
      <c r="AC86" s="82" t="s">
        <v>546</v>
      </c>
      <c r="AD86" s="82" t="s">
        <v>619</v>
      </c>
      <c r="AE86" s="80" t="s">
        <v>623</v>
      </c>
    </row>
    <row r="87" spans="2:31" ht="16.5" thickBot="1">
      <c r="B87" s="102">
        <v>27</v>
      </c>
      <c r="C87" s="102"/>
      <c r="D87" s="101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3"/>
    </row>
    <row r="88" spans="2:31" ht="16.5" thickBot="1">
      <c r="B88" s="102">
        <v>28</v>
      </c>
      <c r="C88" s="102"/>
      <c r="D88" s="117" t="s">
        <v>528</v>
      </c>
      <c r="E88" s="79"/>
      <c r="F88" s="79"/>
      <c r="G88" s="79"/>
      <c r="H88" s="79"/>
      <c r="I88" s="79"/>
      <c r="J88" s="79"/>
      <c r="K88" s="79"/>
      <c r="L88" s="79"/>
      <c r="M88" s="79"/>
      <c r="N88" s="79" t="s">
        <v>590</v>
      </c>
      <c r="O88" s="79" t="s">
        <v>590</v>
      </c>
      <c r="P88" s="79" t="s">
        <v>590</v>
      </c>
      <c r="Q88" s="79" t="s">
        <v>590</v>
      </c>
      <c r="R88" s="79"/>
      <c r="S88" s="79"/>
      <c r="T88" s="79"/>
      <c r="U88" s="79"/>
      <c r="V88" s="79"/>
      <c r="W88" s="79"/>
      <c r="X88" s="79"/>
      <c r="Y88" s="79" t="s">
        <v>610</v>
      </c>
      <c r="Z88" s="79"/>
      <c r="AA88" s="79"/>
      <c r="AB88" s="79"/>
      <c r="AC88" s="79"/>
      <c r="AD88" s="79"/>
      <c r="AE88" s="104" t="s">
        <v>624</v>
      </c>
    </row>
    <row r="89" spans="2:31" ht="32.25" thickBot="1">
      <c r="B89" s="102"/>
      <c r="C89" s="102"/>
      <c r="D89" s="106" t="s">
        <v>22</v>
      </c>
      <c r="E89" s="87" t="s">
        <v>493</v>
      </c>
      <c r="F89" s="88" t="s">
        <v>36</v>
      </c>
      <c r="G89" s="87" t="s">
        <v>38</v>
      </c>
      <c r="H89" s="87" t="s">
        <v>40</v>
      </c>
      <c r="I89" s="87" t="s">
        <v>42</v>
      </c>
      <c r="J89" s="87" t="s">
        <v>44</v>
      </c>
      <c r="K89" s="87" t="s">
        <v>45</v>
      </c>
      <c r="L89" s="87" t="s">
        <v>47</v>
      </c>
      <c r="M89" s="87" t="s">
        <v>49</v>
      </c>
      <c r="N89" s="75" t="s">
        <v>491</v>
      </c>
      <c r="O89" s="75" t="s">
        <v>27</v>
      </c>
      <c r="P89" s="75" t="s">
        <v>29</v>
      </c>
      <c r="Q89" s="75" t="s">
        <v>492</v>
      </c>
      <c r="R89" s="75" t="s">
        <v>51</v>
      </c>
      <c r="S89" s="75" t="s">
        <v>52</v>
      </c>
      <c r="T89" s="75" t="s">
        <v>53</v>
      </c>
      <c r="U89" s="75" t="s">
        <v>54</v>
      </c>
      <c r="V89" s="75" t="s">
        <v>55</v>
      </c>
      <c r="W89" s="75" t="s">
        <v>58</v>
      </c>
      <c r="X89" s="75" t="s">
        <v>60</v>
      </c>
      <c r="Y89" s="75" t="s">
        <v>62</v>
      </c>
      <c r="Z89" s="75" t="s">
        <v>65</v>
      </c>
      <c r="AA89" s="75" t="s">
        <v>67</v>
      </c>
      <c r="AB89" s="75" t="s">
        <v>68</v>
      </c>
      <c r="AC89" s="75" t="s">
        <v>70</v>
      </c>
      <c r="AD89" s="75" t="s">
        <v>71</v>
      </c>
      <c r="AE89" s="75" t="s">
        <v>620</v>
      </c>
    </row>
    <row r="90" spans="2:31" ht="12.75">
      <c r="B90" s="102">
        <v>1</v>
      </c>
      <c r="C90" s="55">
        <v>5</v>
      </c>
      <c r="D90" s="50" t="s">
        <v>625</v>
      </c>
      <c r="E90" s="84" t="s">
        <v>537</v>
      </c>
      <c r="F90" s="84" t="s">
        <v>537</v>
      </c>
      <c r="G90" s="84" t="s">
        <v>537</v>
      </c>
      <c r="H90" s="84" t="s">
        <v>537</v>
      </c>
      <c r="I90" s="84" t="s">
        <v>537</v>
      </c>
      <c r="J90" s="84" t="s">
        <v>537</v>
      </c>
      <c r="K90" s="84" t="s">
        <v>537</v>
      </c>
      <c r="L90" s="84" t="s">
        <v>537</v>
      </c>
      <c r="M90" s="84" t="s">
        <v>537</v>
      </c>
      <c r="N90" s="84" t="s">
        <v>537</v>
      </c>
      <c r="O90" s="84" t="s">
        <v>537</v>
      </c>
      <c r="P90" s="84" t="s">
        <v>537</v>
      </c>
      <c r="Q90" s="84" t="s">
        <v>537</v>
      </c>
      <c r="R90" s="84" t="s">
        <v>537</v>
      </c>
      <c r="S90" s="84" t="s">
        <v>537</v>
      </c>
      <c r="T90" s="84" t="s">
        <v>537</v>
      </c>
      <c r="U90" s="84" t="s">
        <v>537</v>
      </c>
      <c r="V90" s="84" t="s">
        <v>537</v>
      </c>
      <c r="W90" s="84" t="s">
        <v>537</v>
      </c>
      <c r="X90" s="84" t="s">
        <v>537</v>
      </c>
      <c r="Y90" s="84" t="s">
        <v>537</v>
      </c>
      <c r="Z90" s="84" t="s">
        <v>537</v>
      </c>
      <c r="AA90" s="84" t="s">
        <v>537</v>
      </c>
      <c r="AB90" s="84" t="s">
        <v>537</v>
      </c>
      <c r="AC90" s="84" t="s">
        <v>341</v>
      </c>
      <c r="AD90" s="84" t="s">
        <v>537</v>
      </c>
      <c r="AE90" s="76"/>
    </row>
    <row r="91" spans="2:31" ht="12.75">
      <c r="B91" s="102">
        <v>2</v>
      </c>
      <c r="C91" s="50">
        <v>5</v>
      </c>
      <c r="D91" s="50" t="s">
        <v>625</v>
      </c>
      <c r="E91" s="84" t="s">
        <v>374</v>
      </c>
      <c r="F91" s="84" t="s">
        <v>374</v>
      </c>
      <c r="G91" s="84" t="s">
        <v>374</v>
      </c>
      <c r="H91" s="84" t="s">
        <v>374</v>
      </c>
      <c r="I91" s="84" t="s">
        <v>374</v>
      </c>
      <c r="J91" s="84" t="s">
        <v>374</v>
      </c>
      <c r="K91" s="84" t="s">
        <v>374</v>
      </c>
      <c r="L91" s="84" t="s">
        <v>374</v>
      </c>
      <c r="M91" s="84" t="s">
        <v>374</v>
      </c>
      <c r="N91" s="84" t="s">
        <v>532</v>
      </c>
      <c r="O91" s="84" t="s">
        <v>532</v>
      </c>
      <c r="P91" s="84" t="s">
        <v>374</v>
      </c>
      <c r="Q91" s="84" t="s">
        <v>532</v>
      </c>
      <c r="R91" s="84" t="s">
        <v>374</v>
      </c>
      <c r="S91" s="84" t="s">
        <v>374</v>
      </c>
      <c r="T91" s="84" t="s">
        <v>374</v>
      </c>
      <c r="U91" s="84" t="s">
        <v>374</v>
      </c>
      <c r="V91" s="84" t="s">
        <v>374</v>
      </c>
      <c r="W91" s="84" t="s">
        <v>374</v>
      </c>
      <c r="X91" s="84" t="s">
        <v>374</v>
      </c>
      <c r="Y91" s="84" t="s">
        <v>374</v>
      </c>
      <c r="Z91" s="84" t="s">
        <v>374</v>
      </c>
      <c r="AA91" s="84" t="s">
        <v>374</v>
      </c>
      <c r="AB91" s="84" t="s">
        <v>374</v>
      </c>
      <c r="AC91" s="84" t="s">
        <v>543</v>
      </c>
      <c r="AD91" s="84" t="s">
        <v>536</v>
      </c>
      <c r="AE91" s="77" t="s">
        <v>533</v>
      </c>
    </row>
    <row r="92" spans="2:31" ht="12.75">
      <c r="B92" s="102">
        <v>3</v>
      </c>
      <c r="C92" s="50">
        <v>4</v>
      </c>
      <c r="D92" s="50" t="s">
        <v>626</v>
      </c>
      <c r="E92" s="84" t="s">
        <v>536</v>
      </c>
      <c r="F92" s="84" t="s">
        <v>536</v>
      </c>
      <c r="G92" s="84" t="s">
        <v>536</v>
      </c>
      <c r="H92" s="84" t="s">
        <v>536</v>
      </c>
      <c r="I92" s="84" t="s">
        <v>536</v>
      </c>
      <c r="J92" s="84" t="s">
        <v>536</v>
      </c>
      <c r="K92" s="84" t="s">
        <v>536</v>
      </c>
      <c r="L92" s="84" t="s">
        <v>536</v>
      </c>
      <c r="M92" s="84" t="s">
        <v>536</v>
      </c>
      <c r="N92" s="95" t="s">
        <v>581</v>
      </c>
      <c r="O92" s="84" t="s">
        <v>581</v>
      </c>
      <c r="P92" s="84" t="s">
        <v>593</v>
      </c>
      <c r="Q92" s="95" t="s">
        <v>581</v>
      </c>
      <c r="R92" s="84" t="s">
        <v>536</v>
      </c>
      <c r="S92" s="84" t="s">
        <v>536</v>
      </c>
      <c r="T92" s="84" t="s">
        <v>536</v>
      </c>
      <c r="U92" s="84" t="s">
        <v>536</v>
      </c>
      <c r="V92" s="84" t="s">
        <v>536</v>
      </c>
      <c r="W92" s="84" t="s">
        <v>536</v>
      </c>
      <c r="X92" s="84" t="s">
        <v>536</v>
      </c>
      <c r="Y92" s="84" t="s">
        <v>536</v>
      </c>
      <c r="Z92" s="84" t="s">
        <v>536</v>
      </c>
      <c r="AA92" s="84" t="s">
        <v>536</v>
      </c>
      <c r="AB92" s="84" t="s">
        <v>536</v>
      </c>
      <c r="AC92" s="84" t="s">
        <v>536</v>
      </c>
      <c r="AD92" s="84" t="s">
        <v>532</v>
      </c>
      <c r="AE92" s="77"/>
    </row>
    <row r="93" spans="2:31" ht="12.75">
      <c r="B93" s="102">
        <v>4</v>
      </c>
      <c r="C93" s="50">
        <v>2</v>
      </c>
      <c r="D93" s="50" t="s">
        <v>627</v>
      </c>
      <c r="E93" s="84" t="s">
        <v>395</v>
      </c>
      <c r="F93" s="84" t="s">
        <v>395</v>
      </c>
      <c r="G93" s="84" t="s">
        <v>395</v>
      </c>
      <c r="H93" s="84" t="s">
        <v>395</v>
      </c>
      <c r="I93" s="84" t="s">
        <v>395</v>
      </c>
      <c r="J93" s="84" t="s">
        <v>395</v>
      </c>
      <c r="K93" s="84" t="s">
        <v>395</v>
      </c>
      <c r="L93" s="84" t="s">
        <v>395</v>
      </c>
      <c r="M93" s="84" t="s">
        <v>543</v>
      </c>
      <c r="N93" s="84" t="s">
        <v>395</v>
      </c>
      <c r="O93" s="84" t="s">
        <v>395</v>
      </c>
      <c r="P93" s="84" t="s">
        <v>543</v>
      </c>
      <c r="Q93" s="84" t="s">
        <v>395</v>
      </c>
      <c r="R93" s="84" t="s">
        <v>395</v>
      </c>
      <c r="S93" s="84" t="s">
        <v>395</v>
      </c>
      <c r="T93" s="84" t="s">
        <v>395</v>
      </c>
      <c r="U93" s="84" t="s">
        <v>395</v>
      </c>
      <c r="V93" s="84" t="s">
        <v>372</v>
      </c>
      <c r="W93" s="84" t="s">
        <v>395</v>
      </c>
      <c r="X93" s="84" t="s">
        <v>395</v>
      </c>
      <c r="Y93" s="84" t="s">
        <v>395</v>
      </c>
      <c r="Z93" s="84" t="s">
        <v>395</v>
      </c>
      <c r="AA93" s="84" t="s">
        <v>395</v>
      </c>
      <c r="AB93" s="84" t="s">
        <v>395</v>
      </c>
      <c r="AC93" s="84" t="s">
        <v>395</v>
      </c>
      <c r="AD93" s="84" t="s">
        <v>543</v>
      </c>
      <c r="AE93" s="77"/>
    </row>
    <row r="94" spans="2:31" ht="13.5" thickBot="1">
      <c r="B94" s="102">
        <v>5</v>
      </c>
      <c r="C94" s="50">
        <v>2</v>
      </c>
      <c r="D94" s="50" t="s">
        <v>627</v>
      </c>
      <c r="E94" s="84"/>
      <c r="F94" s="84"/>
      <c r="G94" s="84" t="s">
        <v>543</v>
      </c>
      <c r="H94" s="84" t="s">
        <v>543</v>
      </c>
      <c r="I94" s="84" t="s">
        <v>543</v>
      </c>
      <c r="J94" s="84"/>
      <c r="K94" s="84" t="s">
        <v>543</v>
      </c>
      <c r="L94" s="84" t="s">
        <v>543</v>
      </c>
      <c r="M94" s="84"/>
      <c r="N94" s="84" t="s">
        <v>543</v>
      </c>
      <c r="O94" s="84" t="s">
        <v>543</v>
      </c>
      <c r="P94" s="84"/>
      <c r="Q94" s="84" t="s">
        <v>543</v>
      </c>
      <c r="R94" s="84" t="s">
        <v>543</v>
      </c>
      <c r="S94" s="84" t="s">
        <v>543</v>
      </c>
      <c r="T94" s="84" t="s">
        <v>543</v>
      </c>
      <c r="U94" s="84" t="s">
        <v>543</v>
      </c>
      <c r="V94" s="84" t="s">
        <v>543</v>
      </c>
      <c r="W94" s="84"/>
      <c r="X94" s="84"/>
      <c r="Y94" s="84" t="s">
        <v>543</v>
      </c>
      <c r="Z94" s="84" t="s">
        <v>543</v>
      </c>
      <c r="AA94" s="84" t="s">
        <v>543</v>
      </c>
      <c r="AB94" s="84" t="s">
        <v>543</v>
      </c>
      <c r="AC94" s="84" t="s">
        <v>391</v>
      </c>
      <c r="AD94" s="84"/>
      <c r="AE94" s="78"/>
    </row>
    <row r="95" spans="2:31" ht="15">
      <c r="B95" s="102">
        <v>6</v>
      </c>
      <c r="C95" s="102">
        <v>2</v>
      </c>
      <c r="D95" s="112" t="s">
        <v>534</v>
      </c>
      <c r="E95" s="80" t="s">
        <v>543</v>
      </c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 t="s">
        <v>543</v>
      </c>
      <c r="X95" s="80" t="s">
        <v>543</v>
      </c>
      <c r="Y95" s="96" t="s">
        <v>538</v>
      </c>
      <c r="Z95" s="80"/>
      <c r="AA95" s="80"/>
      <c r="AB95" s="80"/>
      <c r="AC95" s="80"/>
      <c r="AD95" s="80"/>
      <c r="AE95" s="76" t="s">
        <v>374</v>
      </c>
    </row>
    <row r="96" spans="2:31" ht="15">
      <c r="B96" s="102">
        <v>7</v>
      </c>
      <c r="C96" s="102"/>
      <c r="D96" s="113"/>
      <c r="E96" s="84" t="s">
        <v>371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 t="s">
        <v>371</v>
      </c>
      <c r="X96" s="84" t="s">
        <v>341</v>
      </c>
      <c r="Y96" s="84"/>
      <c r="Z96" s="84"/>
      <c r="AA96" s="84"/>
      <c r="AB96" s="84"/>
      <c r="AC96" s="84"/>
      <c r="AD96" s="84"/>
      <c r="AE96" s="77" t="s">
        <v>543</v>
      </c>
    </row>
    <row r="97" spans="2:31" ht="15.75" thickBot="1">
      <c r="B97" s="102">
        <v>8</v>
      </c>
      <c r="C97" s="102"/>
      <c r="D97" s="114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78"/>
    </row>
    <row r="98" spans="2:31" ht="15">
      <c r="B98" s="102">
        <v>9</v>
      </c>
      <c r="C98" s="102">
        <v>4</v>
      </c>
      <c r="D98" s="112" t="s">
        <v>516</v>
      </c>
      <c r="E98" s="80" t="s">
        <v>391</v>
      </c>
      <c r="F98" s="80" t="s">
        <v>340</v>
      </c>
      <c r="G98" s="80" t="s">
        <v>340</v>
      </c>
      <c r="H98" s="80" t="s">
        <v>340</v>
      </c>
      <c r="I98" s="80" t="s">
        <v>340</v>
      </c>
      <c r="J98" s="80" t="s">
        <v>391</v>
      </c>
      <c r="K98" s="80" t="s">
        <v>391</v>
      </c>
      <c r="L98" s="80" t="s">
        <v>340</v>
      </c>
      <c r="M98" s="80" t="s">
        <v>340</v>
      </c>
      <c r="N98" s="80" t="s">
        <v>340</v>
      </c>
      <c r="O98" s="80" t="s">
        <v>340</v>
      </c>
      <c r="P98" s="80" t="s">
        <v>340</v>
      </c>
      <c r="Q98" s="80" t="s">
        <v>340</v>
      </c>
      <c r="R98" s="80" t="s">
        <v>391</v>
      </c>
      <c r="S98" s="80" t="s">
        <v>391</v>
      </c>
      <c r="T98" s="80" t="s">
        <v>391</v>
      </c>
      <c r="U98" s="80" t="s">
        <v>391</v>
      </c>
      <c r="V98" s="80" t="s">
        <v>391</v>
      </c>
      <c r="W98" s="80" t="s">
        <v>391</v>
      </c>
      <c r="X98" s="80" t="s">
        <v>391</v>
      </c>
      <c r="Y98" s="80" t="s">
        <v>340</v>
      </c>
      <c r="Z98" s="80" t="s">
        <v>340</v>
      </c>
      <c r="AA98" s="80" t="s">
        <v>340</v>
      </c>
      <c r="AB98" s="80" t="s">
        <v>340</v>
      </c>
      <c r="AC98" s="80" t="s">
        <v>340</v>
      </c>
      <c r="AD98" s="80" t="s">
        <v>340</v>
      </c>
      <c r="AE98" s="76" t="s">
        <v>621</v>
      </c>
    </row>
    <row r="99" spans="2:31" ht="15">
      <c r="B99" s="102">
        <v>10</v>
      </c>
      <c r="C99" s="102"/>
      <c r="D99" s="113"/>
      <c r="E99" s="84" t="s">
        <v>517</v>
      </c>
      <c r="F99" s="84" t="s">
        <v>517</v>
      </c>
      <c r="G99" s="84" t="s">
        <v>517</v>
      </c>
      <c r="H99" s="84" t="s">
        <v>517</v>
      </c>
      <c r="I99" s="84" t="s">
        <v>517</v>
      </c>
      <c r="J99" s="84" t="s">
        <v>517</v>
      </c>
      <c r="K99" s="84" t="s">
        <v>517</v>
      </c>
      <c r="L99" s="84" t="s">
        <v>517</v>
      </c>
      <c r="M99" s="84" t="s">
        <v>517</v>
      </c>
      <c r="N99" s="84" t="s">
        <v>348</v>
      </c>
      <c r="O99" s="84" t="s">
        <v>348</v>
      </c>
      <c r="P99" s="84" t="s">
        <v>348</v>
      </c>
      <c r="Q99" s="84" t="s">
        <v>348</v>
      </c>
      <c r="R99" s="84" t="s">
        <v>517</v>
      </c>
      <c r="S99" s="84" t="s">
        <v>340</v>
      </c>
      <c r="T99" s="84" t="s">
        <v>340</v>
      </c>
      <c r="U99" s="84" t="s">
        <v>340</v>
      </c>
      <c r="V99" s="84" t="s">
        <v>340</v>
      </c>
      <c r="W99" s="84" t="s">
        <v>517</v>
      </c>
      <c r="X99" s="84" t="s">
        <v>517</v>
      </c>
      <c r="Y99" s="84" t="s">
        <v>348</v>
      </c>
      <c r="Z99" s="84" t="s">
        <v>517</v>
      </c>
      <c r="AA99" s="84" t="s">
        <v>391</v>
      </c>
      <c r="AB99" s="84" t="s">
        <v>391</v>
      </c>
      <c r="AC99" s="84" t="s">
        <v>517</v>
      </c>
      <c r="AD99" s="84" t="s">
        <v>391</v>
      </c>
      <c r="AE99" s="77" t="s">
        <v>344</v>
      </c>
    </row>
    <row r="100" spans="2:31" ht="15.75" thickBot="1">
      <c r="B100" s="102">
        <v>11</v>
      </c>
      <c r="C100" s="102"/>
      <c r="D100" s="114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78" t="s">
        <v>360</v>
      </c>
    </row>
    <row r="101" spans="2:31" ht="15">
      <c r="B101" s="102">
        <v>12</v>
      </c>
      <c r="C101" s="102">
        <v>3</v>
      </c>
      <c r="D101" s="112" t="s">
        <v>519</v>
      </c>
      <c r="E101" s="80" t="s">
        <v>520</v>
      </c>
      <c r="F101" s="80" t="s">
        <v>520</v>
      </c>
      <c r="G101" s="80" t="s">
        <v>520</v>
      </c>
      <c r="H101" s="80" t="s">
        <v>347</v>
      </c>
      <c r="I101" s="80" t="s">
        <v>520</v>
      </c>
      <c r="J101" s="80" t="s">
        <v>520</v>
      </c>
      <c r="K101" s="80" t="s">
        <v>520</v>
      </c>
      <c r="L101" s="80" t="s">
        <v>520</v>
      </c>
      <c r="M101" s="80" t="s">
        <v>520</v>
      </c>
      <c r="N101" s="80" t="s">
        <v>362</v>
      </c>
      <c r="O101" s="80" t="s">
        <v>362</v>
      </c>
      <c r="P101" s="80" t="s">
        <v>362</v>
      </c>
      <c r="Q101" s="80" t="s">
        <v>362</v>
      </c>
      <c r="R101" s="80" t="s">
        <v>520</v>
      </c>
      <c r="S101" s="80" t="s">
        <v>377</v>
      </c>
      <c r="T101" s="80" t="s">
        <v>377</v>
      </c>
      <c r="U101" s="80" t="s">
        <v>377</v>
      </c>
      <c r="V101" s="80" t="s">
        <v>377</v>
      </c>
      <c r="W101" s="80" t="s">
        <v>520</v>
      </c>
      <c r="X101" s="80" t="s">
        <v>520</v>
      </c>
      <c r="Y101" s="80" t="s">
        <v>391</v>
      </c>
      <c r="Z101" s="80" t="s">
        <v>520</v>
      </c>
      <c r="AA101" s="80" t="s">
        <v>377</v>
      </c>
      <c r="AB101" s="80" t="s">
        <v>377</v>
      </c>
      <c r="AC101" s="80" t="s">
        <v>520</v>
      </c>
      <c r="AD101" s="80" t="s">
        <v>377</v>
      </c>
      <c r="AE101" s="76" t="s">
        <v>355</v>
      </c>
    </row>
    <row r="102" spans="2:31" ht="15">
      <c r="B102" s="102">
        <v>13</v>
      </c>
      <c r="C102" s="102"/>
      <c r="D102" s="113"/>
      <c r="E102" s="84" t="s">
        <v>377</v>
      </c>
      <c r="F102" s="84" t="s">
        <v>396</v>
      </c>
      <c r="G102" s="84" t="s">
        <v>396</v>
      </c>
      <c r="H102" s="84" t="s">
        <v>377</v>
      </c>
      <c r="I102" s="84" t="s">
        <v>396</v>
      </c>
      <c r="J102" s="84" t="s">
        <v>377</v>
      </c>
      <c r="K102" s="84" t="s">
        <v>377</v>
      </c>
      <c r="L102" s="84" t="s">
        <v>396</v>
      </c>
      <c r="M102" s="84" t="s">
        <v>396</v>
      </c>
      <c r="N102" s="84" t="s">
        <v>396</v>
      </c>
      <c r="O102" s="84" t="s">
        <v>396</v>
      </c>
      <c r="P102" s="84" t="s">
        <v>396</v>
      </c>
      <c r="Q102" s="84" t="s">
        <v>396</v>
      </c>
      <c r="R102" s="84" t="s">
        <v>377</v>
      </c>
      <c r="S102" s="84" t="s">
        <v>396</v>
      </c>
      <c r="T102" s="84" t="s">
        <v>396</v>
      </c>
      <c r="U102" s="84" t="s">
        <v>396</v>
      </c>
      <c r="V102" s="84" t="s">
        <v>396</v>
      </c>
      <c r="W102" s="84" t="s">
        <v>377</v>
      </c>
      <c r="X102" s="84" t="s">
        <v>377</v>
      </c>
      <c r="Y102" s="84" t="s">
        <v>362</v>
      </c>
      <c r="Z102" s="84" t="s">
        <v>396</v>
      </c>
      <c r="AA102" s="84" t="s">
        <v>396</v>
      </c>
      <c r="AB102" s="84" t="s">
        <v>396</v>
      </c>
      <c r="AC102" s="84" t="s">
        <v>396</v>
      </c>
      <c r="AD102" s="84" t="s">
        <v>396</v>
      </c>
      <c r="AE102" s="77" t="s">
        <v>358</v>
      </c>
    </row>
    <row r="103" spans="2:31" ht="15.75" thickBot="1">
      <c r="B103" s="102">
        <v>14</v>
      </c>
      <c r="C103" s="102"/>
      <c r="D103" s="114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78" t="s">
        <v>364</v>
      </c>
    </row>
    <row r="104" spans="2:31" ht="15">
      <c r="B104" s="102">
        <v>15</v>
      </c>
      <c r="C104" s="102">
        <v>2</v>
      </c>
      <c r="D104" s="112" t="s">
        <v>534</v>
      </c>
      <c r="E104" s="80" t="s">
        <v>347</v>
      </c>
      <c r="F104" s="80" t="s">
        <v>347</v>
      </c>
      <c r="G104" s="80" t="s">
        <v>347</v>
      </c>
      <c r="H104" s="80" t="s">
        <v>520</v>
      </c>
      <c r="I104" s="80" t="s">
        <v>347</v>
      </c>
      <c r="J104" s="80" t="s">
        <v>347</v>
      </c>
      <c r="K104" s="80" t="s">
        <v>347</v>
      </c>
      <c r="L104" s="80" t="s">
        <v>347</v>
      </c>
      <c r="M104" s="80" t="s">
        <v>347</v>
      </c>
      <c r="N104" s="80" t="s">
        <v>347</v>
      </c>
      <c r="O104" s="80" t="s">
        <v>347</v>
      </c>
      <c r="P104" s="80" t="s">
        <v>347</v>
      </c>
      <c r="Q104" s="80" t="s">
        <v>347</v>
      </c>
      <c r="R104" s="80" t="s">
        <v>347</v>
      </c>
      <c r="S104" s="80" t="s">
        <v>599</v>
      </c>
      <c r="T104" s="80" t="s">
        <v>599</v>
      </c>
      <c r="U104" s="80" t="s">
        <v>599</v>
      </c>
      <c r="V104" s="80" t="s">
        <v>599</v>
      </c>
      <c r="W104" s="80" t="s">
        <v>347</v>
      </c>
      <c r="X104" s="80" t="s">
        <v>347</v>
      </c>
      <c r="Y104" s="80" t="s">
        <v>347</v>
      </c>
      <c r="Z104" s="80" t="s">
        <v>347</v>
      </c>
      <c r="AA104" s="80" t="s">
        <v>599</v>
      </c>
      <c r="AB104" s="80" t="s">
        <v>599</v>
      </c>
      <c r="AC104" s="80" t="s">
        <v>347</v>
      </c>
      <c r="AD104" s="80" t="s">
        <v>599</v>
      </c>
      <c r="AE104" s="76" t="s">
        <v>539</v>
      </c>
    </row>
    <row r="105" spans="2:31" ht="15">
      <c r="B105" s="102">
        <v>16</v>
      </c>
      <c r="C105" s="102"/>
      <c r="D105" s="113"/>
      <c r="E105" s="84" t="s">
        <v>544</v>
      </c>
      <c r="F105" s="84" t="s">
        <v>377</v>
      </c>
      <c r="G105" s="84" t="s">
        <v>377</v>
      </c>
      <c r="H105" s="84" t="s">
        <v>396</v>
      </c>
      <c r="I105" s="84" t="s">
        <v>377</v>
      </c>
      <c r="J105" s="84" t="s">
        <v>544</v>
      </c>
      <c r="K105" s="84" t="s">
        <v>544</v>
      </c>
      <c r="L105" s="84" t="s">
        <v>377</v>
      </c>
      <c r="M105" s="84" t="s">
        <v>377</v>
      </c>
      <c r="N105" s="84" t="s">
        <v>391</v>
      </c>
      <c r="O105" s="84" t="s">
        <v>391</v>
      </c>
      <c r="P105" s="84" t="s">
        <v>391</v>
      </c>
      <c r="Q105" s="84" t="s">
        <v>391</v>
      </c>
      <c r="R105" s="84" t="s">
        <v>544</v>
      </c>
      <c r="S105" s="84" t="s">
        <v>600</v>
      </c>
      <c r="T105" s="84" t="s">
        <v>600</v>
      </c>
      <c r="U105" s="84" t="s">
        <v>600</v>
      </c>
      <c r="V105" s="84" t="s">
        <v>600</v>
      </c>
      <c r="W105" s="84" t="s">
        <v>544</v>
      </c>
      <c r="X105" s="84" t="s">
        <v>544</v>
      </c>
      <c r="Y105" s="84" t="s">
        <v>396</v>
      </c>
      <c r="Z105" s="84" t="s">
        <v>377</v>
      </c>
      <c r="AA105" s="84" t="s">
        <v>600</v>
      </c>
      <c r="AB105" s="84" t="s">
        <v>600</v>
      </c>
      <c r="AC105" s="84" t="s">
        <v>377</v>
      </c>
      <c r="AD105" s="84" t="s">
        <v>600</v>
      </c>
      <c r="AE105" s="77" t="s">
        <v>384</v>
      </c>
    </row>
    <row r="106" spans="2:31" ht="15.75" thickBot="1">
      <c r="B106" s="102">
        <v>17</v>
      </c>
      <c r="C106" s="102"/>
      <c r="D106" s="114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78"/>
    </row>
    <row r="107" spans="2:31" ht="15.75">
      <c r="B107" s="102">
        <v>18</v>
      </c>
      <c r="C107" s="102"/>
      <c r="D107" s="115" t="s">
        <v>521</v>
      </c>
      <c r="E107" s="76" t="s">
        <v>337</v>
      </c>
      <c r="F107" s="76" t="s">
        <v>337</v>
      </c>
      <c r="G107" s="76" t="s">
        <v>337</v>
      </c>
      <c r="H107" s="76" t="s">
        <v>337</v>
      </c>
      <c r="I107" s="76" t="s">
        <v>337</v>
      </c>
      <c r="J107" s="76" t="s">
        <v>337</v>
      </c>
      <c r="K107" s="76" t="s">
        <v>337</v>
      </c>
      <c r="L107" s="76" t="s">
        <v>337</v>
      </c>
      <c r="M107" s="76" t="s">
        <v>337</v>
      </c>
      <c r="N107" s="76"/>
      <c r="O107" s="76"/>
      <c r="P107" s="76"/>
      <c r="Q107" s="76"/>
      <c r="R107" s="76" t="s">
        <v>337</v>
      </c>
      <c r="S107" s="76"/>
      <c r="T107" s="76"/>
      <c r="U107" s="76"/>
      <c r="V107" s="76"/>
      <c r="W107" s="76" t="s">
        <v>337</v>
      </c>
      <c r="X107" s="76" t="s">
        <v>337</v>
      </c>
      <c r="Y107" s="76"/>
      <c r="Z107" s="76" t="s">
        <v>337</v>
      </c>
      <c r="AA107" s="76" t="s">
        <v>337</v>
      </c>
      <c r="AB107" s="76"/>
      <c r="AC107" s="76" t="s">
        <v>337</v>
      </c>
      <c r="AD107" s="76"/>
      <c r="AE107" s="76"/>
    </row>
    <row r="108" spans="2:31" ht="16.5" thickBot="1">
      <c r="B108" s="102">
        <v>19</v>
      </c>
      <c r="C108" s="102"/>
      <c r="D108" s="116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78"/>
    </row>
    <row r="109" spans="2:31" ht="16.5" thickBot="1">
      <c r="B109" s="102">
        <v>20</v>
      </c>
      <c r="C109" s="102">
        <v>3</v>
      </c>
      <c r="D109" s="117" t="s">
        <v>545</v>
      </c>
      <c r="E109" s="79" t="s">
        <v>522</v>
      </c>
      <c r="F109" s="79" t="s">
        <v>522</v>
      </c>
      <c r="G109" s="79" t="s">
        <v>522</v>
      </c>
      <c r="H109" s="79" t="s">
        <v>522</v>
      </c>
      <c r="I109" s="79" t="s">
        <v>522</v>
      </c>
      <c r="J109" s="79" t="s">
        <v>522</v>
      </c>
      <c r="K109" s="79" t="s">
        <v>522</v>
      </c>
      <c r="L109" s="79" t="s">
        <v>522</v>
      </c>
      <c r="M109" s="79" t="s">
        <v>522</v>
      </c>
      <c r="N109" s="79" t="s">
        <v>578</v>
      </c>
      <c r="O109" s="79" t="s">
        <v>578</v>
      </c>
      <c r="P109" s="79" t="s">
        <v>578</v>
      </c>
      <c r="Q109" s="79" t="s">
        <v>578</v>
      </c>
      <c r="R109" s="79" t="s">
        <v>594</v>
      </c>
      <c r="S109" s="79" t="s">
        <v>557</v>
      </c>
      <c r="T109" s="79" t="s">
        <v>557</v>
      </c>
      <c r="U109" s="79" t="s">
        <v>601</v>
      </c>
      <c r="V109" s="79" t="s">
        <v>601</v>
      </c>
      <c r="W109" s="79" t="s">
        <v>560</v>
      </c>
      <c r="X109" s="79" t="s">
        <v>522</v>
      </c>
      <c r="Y109" s="79" t="s">
        <v>607</v>
      </c>
      <c r="Z109" s="79" t="s">
        <v>522</v>
      </c>
      <c r="AA109" s="79" t="s">
        <v>614</v>
      </c>
      <c r="AB109" s="79" t="s">
        <v>522</v>
      </c>
      <c r="AC109" s="79" t="s">
        <v>576</v>
      </c>
      <c r="AD109" s="80" t="s">
        <v>576</v>
      </c>
      <c r="AE109" s="79" t="s">
        <v>558</v>
      </c>
    </row>
    <row r="110" spans="2:35" ht="16.5" thickBot="1">
      <c r="B110" s="102">
        <v>21</v>
      </c>
      <c r="C110" s="102">
        <v>1</v>
      </c>
      <c r="D110" s="115" t="s">
        <v>595</v>
      </c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 t="s">
        <v>557</v>
      </c>
      <c r="S110" s="80"/>
      <c r="T110" s="80"/>
      <c r="U110" s="80" t="s">
        <v>557</v>
      </c>
      <c r="V110" s="80" t="s">
        <v>557</v>
      </c>
      <c r="W110" s="80"/>
      <c r="X110" s="80"/>
      <c r="Y110" s="80"/>
      <c r="Z110" s="80"/>
      <c r="AA110" s="80" t="s">
        <v>522</v>
      </c>
      <c r="AB110" s="80"/>
      <c r="AC110" s="79"/>
      <c r="AD110" s="80" t="s">
        <v>522</v>
      </c>
      <c r="AE110" s="80"/>
      <c r="AF110" s="68"/>
      <c r="AG110" s="68"/>
      <c r="AH110" s="68"/>
      <c r="AI110" s="68"/>
    </row>
    <row r="111" spans="2:35" ht="16.5" thickBot="1">
      <c r="B111" s="102">
        <v>22</v>
      </c>
      <c r="C111" s="102"/>
      <c r="D111" s="11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68"/>
      <c r="AG111" s="68"/>
      <c r="AH111" s="68"/>
      <c r="AI111" s="68"/>
    </row>
    <row r="112" spans="2:31" ht="16.5" thickBot="1">
      <c r="B112" s="102">
        <v>23</v>
      </c>
      <c r="C112" s="102"/>
      <c r="D112" s="115" t="s">
        <v>525</v>
      </c>
      <c r="E112" s="80">
        <v>50</v>
      </c>
      <c r="F112" s="80">
        <v>50</v>
      </c>
      <c r="G112" s="80">
        <v>50</v>
      </c>
      <c r="H112" s="80">
        <v>50</v>
      </c>
      <c r="I112" s="80">
        <v>50</v>
      </c>
      <c r="J112" s="80">
        <v>50</v>
      </c>
      <c r="K112" s="80">
        <v>50</v>
      </c>
      <c r="L112" s="80">
        <v>50</v>
      </c>
      <c r="M112" s="80">
        <v>50</v>
      </c>
      <c r="N112" s="80">
        <v>40</v>
      </c>
      <c r="O112" s="80">
        <v>40</v>
      </c>
      <c r="P112" s="80">
        <v>40</v>
      </c>
      <c r="Q112" s="80">
        <v>40</v>
      </c>
      <c r="R112" s="80">
        <v>50</v>
      </c>
      <c r="S112" s="80">
        <v>50</v>
      </c>
      <c r="T112" s="80">
        <v>50</v>
      </c>
      <c r="U112" s="80">
        <v>50</v>
      </c>
      <c r="V112" s="80">
        <v>50</v>
      </c>
      <c r="W112" s="80">
        <v>80</v>
      </c>
      <c r="X112" s="80">
        <v>80</v>
      </c>
      <c r="Y112" s="80">
        <v>40</v>
      </c>
      <c r="Z112" s="80">
        <v>50</v>
      </c>
      <c r="AA112" s="80">
        <v>50</v>
      </c>
      <c r="AB112" s="80">
        <v>50</v>
      </c>
      <c r="AC112" s="80">
        <v>50</v>
      </c>
      <c r="AD112" s="80">
        <v>50</v>
      </c>
      <c r="AE112" s="80">
        <v>50</v>
      </c>
    </row>
    <row r="113" spans="2:31" ht="15.75">
      <c r="B113" s="102">
        <v>24</v>
      </c>
      <c r="C113" s="102"/>
      <c r="D113" s="115" t="s">
        <v>523</v>
      </c>
      <c r="E113" s="80" t="s">
        <v>549</v>
      </c>
      <c r="F113" s="80" t="s">
        <v>549</v>
      </c>
      <c r="G113" s="80" t="s">
        <v>549</v>
      </c>
      <c r="H113" s="80" t="s">
        <v>549</v>
      </c>
      <c r="I113" s="80" t="s">
        <v>549</v>
      </c>
      <c r="J113" s="80" t="s">
        <v>549</v>
      </c>
      <c r="K113" s="80" t="s">
        <v>549</v>
      </c>
      <c r="L113" s="80" t="s">
        <v>549</v>
      </c>
      <c r="M113" s="80" t="s">
        <v>549</v>
      </c>
      <c r="N113" s="80" t="s">
        <v>591</v>
      </c>
      <c r="O113" s="80" t="s">
        <v>591</v>
      </c>
      <c r="P113" s="80" t="s">
        <v>591</v>
      </c>
      <c r="Q113" s="80" t="s">
        <v>591</v>
      </c>
      <c r="R113" s="80" t="s">
        <v>549</v>
      </c>
      <c r="S113" s="80" t="s">
        <v>549</v>
      </c>
      <c r="T113" s="80" t="s">
        <v>549</v>
      </c>
      <c r="U113" s="80" t="s">
        <v>549</v>
      </c>
      <c r="V113" s="80" t="s">
        <v>549</v>
      </c>
      <c r="W113" s="80" t="s">
        <v>549</v>
      </c>
      <c r="X113" s="80" t="s">
        <v>549</v>
      </c>
      <c r="Y113" s="80" t="s">
        <v>549</v>
      </c>
      <c r="Z113" s="80" t="s">
        <v>549</v>
      </c>
      <c r="AA113" s="80" t="s">
        <v>549</v>
      </c>
      <c r="AB113" s="80" t="s">
        <v>549</v>
      </c>
      <c r="AC113" s="80" t="s">
        <v>549</v>
      </c>
      <c r="AD113" s="80" t="s">
        <v>603</v>
      </c>
      <c r="AE113" s="80" t="s">
        <v>622</v>
      </c>
    </row>
    <row r="114" spans="2:31" ht="16.5" thickBot="1">
      <c r="B114" s="102">
        <v>25</v>
      </c>
      <c r="C114" s="102"/>
      <c r="D114" s="116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4"/>
    </row>
    <row r="115" spans="2:31" ht="15.75">
      <c r="B115" s="102">
        <v>26</v>
      </c>
      <c r="C115" s="102"/>
      <c r="D115" s="119" t="s">
        <v>526</v>
      </c>
      <c r="E115" s="82" t="s">
        <v>550</v>
      </c>
      <c r="F115" s="82" t="s">
        <v>550</v>
      </c>
      <c r="G115" s="82" t="s">
        <v>550</v>
      </c>
      <c r="H115" s="82" t="s">
        <v>550</v>
      </c>
      <c r="I115" s="82" t="s">
        <v>550</v>
      </c>
      <c r="J115" s="82" t="s">
        <v>550</v>
      </c>
      <c r="K115" s="82" t="s">
        <v>550</v>
      </c>
      <c r="L115" s="82" t="s">
        <v>550</v>
      </c>
      <c r="M115" s="82" t="s">
        <v>550</v>
      </c>
      <c r="N115" s="82" t="s">
        <v>592</v>
      </c>
      <c r="O115" s="82" t="s">
        <v>592</v>
      </c>
      <c r="P115" s="82" t="s">
        <v>592</v>
      </c>
      <c r="Q115" s="82" t="s">
        <v>592</v>
      </c>
      <c r="R115" s="82" t="s">
        <v>550</v>
      </c>
      <c r="S115" s="82" t="s">
        <v>550</v>
      </c>
      <c r="T115" s="82" t="s">
        <v>550</v>
      </c>
      <c r="U115" s="82" t="s">
        <v>550</v>
      </c>
      <c r="V115" s="82" t="s">
        <v>550</v>
      </c>
      <c r="W115" s="82" t="s">
        <v>550</v>
      </c>
      <c r="X115" s="82" t="s">
        <v>550</v>
      </c>
      <c r="Y115" s="82" t="s">
        <v>550</v>
      </c>
      <c r="Z115" s="82" t="s">
        <v>550</v>
      </c>
      <c r="AA115" s="82" t="s">
        <v>550</v>
      </c>
      <c r="AB115" s="82" t="s">
        <v>550</v>
      </c>
      <c r="AC115" s="82" t="s">
        <v>550</v>
      </c>
      <c r="AD115" s="82" t="s">
        <v>550</v>
      </c>
      <c r="AE115" s="80" t="s">
        <v>623</v>
      </c>
    </row>
    <row r="116" spans="2:31" ht="16.5" thickBot="1">
      <c r="B116" s="102">
        <v>27</v>
      </c>
      <c r="C116" s="102"/>
      <c r="D116" s="101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3"/>
    </row>
    <row r="117" spans="2:31" ht="16.5" thickBot="1">
      <c r="B117" s="102">
        <v>28</v>
      </c>
      <c r="C117" s="102"/>
      <c r="D117" s="117" t="s">
        <v>528</v>
      </c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104" t="s">
        <v>624</v>
      </c>
    </row>
    <row r="118" ht="13.5" thickBot="1">
      <c r="Q118" s="74"/>
    </row>
    <row r="119" spans="16:19" ht="13.5" thickBot="1">
      <c r="P119" s="108">
        <v>1</v>
      </c>
      <c r="Q119" s="109">
        <v>2</v>
      </c>
      <c r="R119" s="109">
        <v>3</v>
      </c>
      <c r="S119" s="110">
        <v>4</v>
      </c>
    </row>
    <row r="120" spans="7:30" ht="13.5" thickBot="1">
      <c r="G120" s="120">
        <v>1</v>
      </c>
      <c r="H120" s="120">
        <v>2</v>
      </c>
      <c r="I120" s="120">
        <v>3</v>
      </c>
      <c r="J120" s="120">
        <v>4</v>
      </c>
      <c r="L120" s="74">
        <v>1</v>
      </c>
      <c r="P120" s="121" t="s">
        <v>19</v>
      </c>
      <c r="Q120" s="107" t="s">
        <v>530</v>
      </c>
      <c r="R120" s="65" t="s">
        <v>542</v>
      </c>
      <c r="S120" s="65" t="s">
        <v>22</v>
      </c>
      <c r="T120" s="74"/>
      <c r="U120" s="74"/>
      <c r="V120" s="74"/>
      <c r="AB120" s="45"/>
      <c r="AC120" s="45"/>
      <c r="AD120" s="45"/>
    </row>
    <row r="121" spans="5:30" ht="13.5" thickBot="1">
      <c r="E121" s="122">
        <f>Création!B9</f>
        <v>3</v>
      </c>
      <c r="G121" s="103" t="str">
        <f>VLOOKUP(Création!B5,Données!C139:D166,2,TRUE)</f>
        <v>Etrusques</v>
      </c>
      <c r="H121" s="103" t="str">
        <f aca="true" t="shared" si="0" ref="H121:H149">HLOOKUP(ori,origine,L149,FALSE)</f>
        <v>Etrusques</v>
      </c>
      <c r="I121" s="103" t="str">
        <f aca="true" t="shared" si="1" ref="I121:I149">HLOOKUP(ori,origine,L178,FALSE)</f>
        <v>Etrusques</v>
      </c>
      <c r="J121" s="103" t="str">
        <f aca="true" t="shared" si="2" ref="J121:J149">HLOOKUP(ori,origine,L207,FALSE)</f>
        <v>Etrusques</v>
      </c>
      <c r="L121" s="74">
        <v>2</v>
      </c>
      <c r="P121" s="50" t="s">
        <v>625</v>
      </c>
      <c r="Q121" s="50" t="s">
        <v>625</v>
      </c>
      <c r="R121" s="50" t="s">
        <v>625</v>
      </c>
      <c r="S121" s="50" t="s">
        <v>625</v>
      </c>
      <c r="T121" s="74"/>
      <c r="U121" s="74"/>
      <c r="V121" s="74"/>
      <c r="AB121" s="45"/>
      <c r="AC121" s="45"/>
      <c r="AD121" s="45"/>
    </row>
    <row r="122" spans="2:30" ht="13.5" thickBot="1">
      <c r="B122" s="45">
        <v>1</v>
      </c>
      <c r="C122" s="123">
        <f aca="true" t="shared" si="3" ref="C122:C149">HLOOKUP(cc,bob3,L121)</f>
        <v>5</v>
      </c>
      <c r="D122" s="124" t="str">
        <f aca="true" t="shared" si="4" ref="D122:D149">HLOOKUP(cc,bob2,L122)</f>
        <v>Compétence à +5</v>
      </c>
      <c r="E122" s="125" t="str">
        <f>IF(mdc&gt;2,Origine!AE3,HLOOKUP(cc,bob,L122))</f>
        <v>Epée courte (Attaque)</v>
      </c>
      <c r="G122" s="103" t="str">
        <f aca="true" t="shared" si="5" ref="G122:G149">HLOOKUP(ori,origine,L121,FALSE)</f>
        <v>Lance à une main en attaque </v>
      </c>
      <c r="H122" s="103" t="str">
        <f t="shared" si="0"/>
        <v>Epée courte (Attaque)</v>
      </c>
      <c r="I122" s="103" t="str">
        <f t="shared" si="1"/>
        <v>Epée courte (Attaque)</v>
      </c>
      <c r="J122" s="103" t="str">
        <f t="shared" si="2"/>
        <v>Bouclier (parade) </v>
      </c>
      <c r="L122" s="74">
        <v>3</v>
      </c>
      <c r="P122" s="50" t="s">
        <v>626</v>
      </c>
      <c r="Q122" s="50" t="s">
        <v>626</v>
      </c>
      <c r="R122" s="50" t="s">
        <v>626</v>
      </c>
      <c r="S122" s="50" t="s">
        <v>625</v>
      </c>
      <c r="T122" s="74"/>
      <c r="U122" s="74"/>
      <c r="V122" s="74"/>
      <c r="AB122" s="45"/>
      <c r="AC122" s="45"/>
      <c r="AD122" s="45"/>
    </row>
    <row r="123" spans="2:30" ht="13.5" thickBot="1">
      <c r="B123" s="45">
        <v>2</v>
      </c>
      <c r="C123" s="123">
        <f t="shared" si="3"/>
        <v>4</v>
      </c>
      <c r="D123" s="126" t="str">
        <f t="shared" si="4"/>
        <v>Compétence à +4</v>
      </c>
      <c r="E123" s="125" t="str">
        <f>IF(mdc&gt;2,Origine!AE4,HLOOKUP(cc,bob,L123))</f>
        <v>Lance à une main en attaque </v>
      </c>
      <c r="G123" s="103" t="str">
        <f t="shared" si="5"/>
        <v>Epée courte (Attaque)</v>
      </c>
      <c r="H123" s="103" t="str">
        <f t="shared" si="0"/>
        <v>Lance à deux main (Attaque et Parade)</v>
      </c>
      <c r="I123" s="103" t="str">
        <f t="shared" si="1"/>
        <v>Lance à une main en attaque </v>
      </c>
      <c r="J123" s="103" t="str">
        <f t="shared" si="2"/>
        <v>Lancer</v>
      </c>
      <c r="L123" s="74">
        <v>4</v>
      </c>
      <c r="P123" s="50" t="s">
        <v>625</v>
      </c>
      <c r="Q123" s="50" t="s">
        <v>625</v>
      </c>
      <c r="R123" s="50" t="s">
        <v>625</v>
      </c>
      <c r="S123" s="50" t="s">
        <v>626</v>
      </c>
      <c r="T123" s="74"/>
      <c r="U123" s="74"/>
      <c r="V123" s="74"/>
      <c r="AB123" s="45"/>
      <c r="AC123" s="45"/>
      <c r="AD123" s="45"/>
    </row>
    <row r="124" spans="2:30" ht="13.5" thickBot="1">
      <c r="B124" s="45">
        <v>3</v>
      </c>
      <c r="C124" s="123">
        <f t="shared" si="3"/>
        <v>5</v>
      </c>
      <c r="D124" s="126" t="str">
        <f t="shared" si="4"/>
        <v>Compétence à +5</v>
      </c>
      <c r="E124" s="125" t="str">
        <f>IF(mdc&gt;2,Origine!AE5,HLOOKUP(cc,bob,L124))</f>
        <v>Bouclier (parade) </v>
      </c>
      <c r="G124" s="103" t="str">
        <f t="shared" si="5"/>
        <v>Bouclier (parade)</v>
      </c>
      <c r="H124" s="103" t="str">
        <f t="shared" si="0"/>
        <v>Bouclier (parade) </v>
      </c>
      <c r="I124" s="103" t="str">
        <f t="shared" si="1"/>
        <v>Bouclier (parade) </v>
      </c>
      <c r="J124" s="103" t="str">
        <f t="shared" si="2"/>
        <v>Epée courte (Attaque)</v>
      </c>
      <c r="L124" s="74">
        <v>5</v>
      </c>
      <c r="P124" s="50" t="s">
        <v>625</v>
      </c>
      <c r="Q124" s="50" t="s">
        <v>625</v>
      </c>
      <c r="R124" s="50" t="s">
        <v>626</v>
      </c>
      <c r="S124" s="50" t="s">
        <v>627</v>
      </c>
      <c r="T124" s="74"/>
      <c r="U124" s="74"/>
      <c r="V124" s="74"/>
      <c r="AB124" s="45"/>
      <c r="AC124" s="45"/>
      <c r="AD124" s="45"/>
    </row>
    <row r="125" spans="2:30" ht="13.5" thickBot="1">
      <c r="B125" s="45">
        <v>4</v>
      </c>
      <c r="C125" s="123">
        <f t="shared" si="3"/>
        <v>4</v>
      </c>
      <c r="D125" s="126" t="str">
        <f t="shared" si="4"/>
        <v>Compétence à +4</v>
      </c>
      <c r="E125" s="125">
        <f>IF(mdc&gt;2,Origine!AE6,HLOOKUP(cc,bob,L125))</f>
        <v>0</v>
      </c>
      <c r="G125" s="103" t="str">
        <f t="shared" si="5"/>
        <v>Equitation</v>
      </c>
      <c r="H125" s="103">
        <f t="shared" si="0"/>
        <v>0</v>
      </c>
      <c r="I125" s="103">
        <f t="shared" si="1"/>
        <v>0</v>
      </c>
      <c r="J125" s="103" t="str">
        <f t="shared" si="2"/>
        <v>Voir</v>
      </c>
      <c r="L125" s="74">
        <v>6</v>
      </c>
      <c r="P125" s="50" t="s">
        <v>627</v>
      </c>
      <c r="Q125" s="50" t="s">
        <v>627</v>
      </c>
      <c r="R125" s="50"/>
      <c r="S125" s="50" t="s">
        <v>627</v>
      </c>
      <c r="T125" s="74"/>
      <c r="U125" s="74"/>
      <c r="V125" s="74"/>
      <c r="AB125" s="45"/>
      <c r="AC125" s="45"/>
      <c r="AD125" s="45"/>
    </row>
    <row r="126" spans="2:30" ht="15.75" thickBot="1">
      <c r="B126" s="45">
        <v>5</v>
      </c>
      <c r="C126" s="123">
        <f t="shared" si="3"/>
        <v>0</v>
      </c>
      <c r="D126" s="128">
        <f t="shared" si="4"/>
        <v>0</v>
      </c>
      <c r="E126" s="125">
        <f>IF(mdc&gt;2,Origine!AE7,HLOOKUP(cc,bob,L126))</f>
        <v>0</v>
      </c>
      <c r="G126" s="103" t="str">
        <f t="shared" si="5"/>
        <v>Etiquette</v>
      </c>
      <c r="H126" s="103" t="str">
        <f t="shared" si="0"/>
        <v>Théologie</v>
      </c>
      <c r="I126" s="103">
        <f t="shared" si="1"/>
        <v>0</v>
      </c>
      <c r="J126" s="103" t="str">
        <f t="shared" si="2"/>
        <v>Esquive</v>
      </c>
      <c r="L126" s="74">
        <v>7</v>
      </c>
      <c r="P126" s="112" t="s">
        <v>515</v>
      </c>
      <c r="Q126" s="112" t="s">
        <v>515</v>
      </c>
      <c r="R126" s="112" t="s">
        <v>515</v>
      </c>
      <c r="S126" s="112" t="s">
        <v>534</v>
      </c>
      <c r="T126" s="74"/>
      <c r="U126" s="74"/>
      <c r="V126" s="74"/>
      <c r="AB126" s="45"/>
      <c r="AC126" s="45"/>
      <c r="AD126" s="45"/>
    </row>
    <row r="127" spans="1:30" ht="15.75" thickBot="1">
      <c r="A127" s="45">
        <v>1</v>
      </c>
      <c r="B127" s="45">
        <v>6</v>
      </c>
      <c r="C127" s="123">
        <f t="shared" si="3"/>
        <v>2</v>
      </c>
      <c r="D127" s="124" t="str">
        <f t="shared" si="4"/>
        <v>Au choix à + 2 : </v>
      </c>
      <c r="E127" s="125" t="str">
        <f>IF(mdc&gt;2,AE8,IF(HLOOKUP(cc,bob,L127)=0," ",HLOOKUP(cc,bob,L127)))</f>
        <v>Lancer</v>
      </c>
      <c r="G127" s="103" t="str">
        <f t="shared" si="5"/>
        <v>Histoire</v>
      </c>
      <c r="H127" s="103">
        <f t="shared" si="0"/>
        <v>0</v>
      </c>
      <c r="I127" s="103" t="str">
        <f t="shared" si="1"/>
        <v>Lancer</v>
      </c>
      <c r="J127" s="103">
        <f t="shared" si="2"/>
        <v>0</v>
      </c>
      <c r="L127" s="74">
        <v>8</v>
      </c>
      <c r="P127" s="113"/>
      <c r="Q127" s="113"/>
      <c r="R127" s="113"/>
      <c r="S127" s="113"/>
      <c r="T127" s="74"/>
      <c r="U127" s="74"/>
      <c r="V127" s="74"/>
      <c r="AB127" s="45"/>
      <c r="AC127" s="45"/>
      <c r="AD127" s="45"/>
    </row>
    <row r="128" spans="1:30" ht="15.75" thickBot="1">
      <c r="A128" s="45">
        <v>2</v>
      </c>
      <c r="B128" s="45">
        <v>7</v>
      </c>
      <c r="C128" s="123">
        <f t="shared" si="3"/>
        <v>0</v>
      </c>
      <c r="D128" s="126">
        <f t="shared" si="4"/>
        <v>0</v>
      </c>
      <c r="E128" s="125" t="str">
        <f>IF(mdc&gt;2,AE9,IF(HLOOKUP(cc,bob,L128)=0," ",HLOOKUP(cc,bob,L128)))</f>
        <v>Esquive</v>
      </c>
      <c r="G128" s="103" t="str">
        <f t="shared" si="5"/>
        <v>Théologie</v>
      </c>
      <c r="H128" s="103">
        <f t="shared" si="0"/>
        <v>0</v>
      </c>
      <c r="I128" s="103" t="str">
        <f t="shared" si="1"/>
        <v>Esquive</v>
      </c>
      <c r="J128" s="103">
        <f t="shared" si="2"/>
        <v>0</v>
      </c>
      <c r="L128" s="74">
        <v>9</v>
      </c>
      <c r="P128" s="114"/>
      <c r="Q128" s="114"/>
      <c r="R128" s="114"/>
      <c r="S128" s="114"/>
      <c r="T128" s="74"/>
      <c r="U128" s="74"/>
      <c r="V128" s="74"/>
      <c r="AB128" s="45"/>
      <c r="AC128" s="45"/>
      <c r="AD128" s="45"/>
    </row>
    <row r="129" spans="1:30" ht="15.75" thickBot="1">
      <c r="A129" s="45">
        <v>3</v>
      </c>
      <c r="B129" s="45">
        <v>8</v>
      </c>
      <c r="C129" s="123">
        <f t="shared" si="3"/>
        <v>0</v>
      </c>
      <c r="D129" s="127">
        <f t="shared" si="4"/>
        <v>0</v>
      </c>
      <c r="E129" s="125" t="str">
        <f>IF(mdc&gt;2,AE10,IF(HLOOKUP(cc,bob,L129)=0," ",HLOOKUP(cc,bob,L129)))</f>
        <v> </v>
      </c>
      <c r="G129" s="103">
        <f t="shared" si="5"/>
        <v>0</v>
      </c>
      <c r="H129" s="103">
        <f t="shared" si="0"/>
        <v>0</v>
      </c>
      <c r="I129" s="103">
        <f t="shared" si="1"/>
        <v>0</v>
      </c>
      <c r="J129" s="103">
        <f t="shared" si="2"/>
        <v>0</v>
      </c>
      <c r="L129" s="74">
        <v>10</v>
      </c>
      <c r="P129" s="112" t="s">
        <v>516</v>
      </c>
      <c r="Q129" s="112" t="s">
        <v>516</v>
      </c>
      <c r="R129" s="112" t="s">
        <v>516</v>
      </c>
      <c r="S129" s="112" t="s">
        <v>516</v>
      </c>
      <c r="T129" s="74"/>
      <c r="U129" s="74"/>
      <c r="V129" s="74"/>
      <c r="AB129" s="45"/>
      <c r="AC129" s="45"/>
      <c r="AD129" s="45"/>
    </row>
    <row r="130" spans="1:30" ht="15.75" thickBot="1">
      <c r="A130" s="45">
        <v>1</v>
      </c>
      <c r="B130" s="45">
        <v>9</v>
      </c>
      <c r="C130" s="123">
        <f t="shared" si="3"/>
        <v>4</v>
      </c>
      <c r="D130" s="124" t="str">
        <f t="shared" si="4"/>
        <v>Au choix à + 4 : </v>
      </c>
      <c r="E130" s="125" t="str">
        <f>IF(mdc&gt;2,AE11,IF(HLOOKUP(cc,bob,L130)=0," ",HLOOKUP(cc,bob,L130)))</f>
        <v>Naviguer</v>
      </c>
      <c r="G130" s="103" t="str">
        <f t="shared" si="5"/>
        <v>Naviguer</v>
      </c>
      <c r="H130" s="103" t="str">
        <f t="shared" si="0"/>
        <v>Orientation</v>
      </c>
      <c r="I130" s="103" t="str">
        <f t="shared" si="1"/>
        <v>Naviguer</v>
      </c>
      <c r="J130" s="103" t="str">
        <f t="shared" si="2"/>
        <v>Survie</v>
      </c>
      <c r="L130" s="74">
        <v>11</v>
      </c>
      <c r="P130" s="113"/>
      <c r="Q130" s="113"/>
      <c r="R130" s="113"/>
      <c r="S130" s="113"/>
      <c r="T130" s="74"/>
      <c r="U130" s="74"/>
      <c r="V130" s="74"/>
      <c r="AB130" s="45"/>
      <c r="AC130" s="45"/>
      <c r="AD130" s="45"/>
    </row>
    <row r="131" spans="1:30" ht="15.75" thickBot="1">
      <c r="A131" s="45">
        <v>2</v>
      </c>
      <c r="B131" s="45">
        <v>10</v>
      </c>
      <c r="C131" s="123">
        <f t="shared" si="3"/>
        <v>0</v>
      </c>
      <c r="D131" s="126">
        <f t="shared" si="4"/>
        <v>0</v>
      </c>
      <c r="E131" s="125" t="str">
        <f>IF(mdc&gt;2,AE12,IF(HLOOKUP(cc,bob,L131)=0," ",HLOOKUP(cc,bob,L131)))</f>
        <v>Agriculture</v>
      </c>
      <c r="G131" s="103" t="str">
        <f t="shared" si="5"/>
        <v>Tactique</v>
      </c>
      <c r="H131" s="103" t="str">
        <f t="shared" si="0"/>
        <v>Peinture</v>
      </c>
      <c r="I131" s="103" t="str">
        <f t="shared" si="1"/>
        <v>Agriculture</v>
      </c>
      <c r="J131" s="103" t="str">
        <f t="shared" si="2"/>
        <v>Natation </v>
      </c>
      <c r="L131" s="74">
        <v>12</v>
      </c>
      <c r="P131" s="114"/>
      <c r="Q131" s="114"/>
      <c r="R131" s="114"/>
      <c r="S131" s="114"/>
      <c r="T131" s="74"/>
      <c r="U131" s="74"/>
      <c r="V131" s="74"/>
      <c r="AB131" s="45"/>
      <c r="AC131" s="45"/>
      <c r="AD131" s="45"/>
    </row>
    <row r="132" spans="1:30" ht="15.75" thickBot="1">
      <c r="A132" s="45">
        <v>3</v>
      </c>
      <c r="B132" s="45">
        <v>11</v>
      </c>
      <c r="C132" s="123">
        <f t="shared" si="3"/>
        <v>0</v>
      </c>
      <c r="D132" s="127">
        <f t="shared" si="4"/>
        <v>0</v>
      </c>
      <c r="E132" s="125" t="str">
        <f>IF(mdc&gt;2,AE13,IF(HLOOKUP(cc,bob,L132)=0," ",HLOOKUP(cc,bob,L132)))</f>
        <v>Artisanat</v>
      </c>
      <c r="G132" s="103" t="str">
        <f t="shared" si="5"/>
        <v>Convaincre</v>
      </c>
      <c r="H132" s="103" t="str">
        <f t="shared" si="0"/>
        <v>Artisanat</v>
      </c>
      <c r="I132" s="103" t="str">
        <f t="shared" si="1"/>
        <v>Artisanat</v>
      </c>
      <c r="J132" s="103">
        <f t="shared" si="2"/>
        <v>0</v>
      </c>
      <c r="L132" s="74">
        <v>13</v>
      </c>
      <c r="P132" s="112" t="s">
        <v>519</v>
      </c>
      <c r="Q132" s="112" t="s">
        <v>519</v>
      </c>
      <c r="R132" s="112" t="s">
        <v>519</v>
      </c>
      <c r="S132" s="112" t="s">
        <v>519</v>
      </c>
      <c r="T132" s="74"/>
      <c r="U132" s="74"/>
      <c r="V132" s="74"/>
      <c r="AB132" s="45"/>
      <c r="AC132" s="45"/>
      <c r="AD132" s="45"/>
    </row>
    <row r="133" spans="1:30" ht="15.75" thickBot="1">
      <c r="A133" s="45">
        <v>1</v>
      </c>
      <c r="B133" s="45">
        <v>12</v>
      </c>
      <c r="C133" s="123">
        <f t="shared" si="3"/>
        <v>3</v>
      </c>
      <c r="D133" s="124" t="str">
        <f t="shared" si="4"/>
        <v>Au choix à + 3 :</v>
      </c>
      <c r="E133" s="125" t="str">
        <f>IF(mdc&gt;2,AE14,IF(HLOOKUP(cc,bob,L133)=0," ",HLOOKUP(cc,bob,L133)))</f>
        <v>Natation</v>
      </c>
      <c r="G133" s="103" t="str">
        <f t="shared" si="5"/>
        <v>Orientation</v>
      </c>
      <c r="H133" s="103" t="str">
        <f t="shared" si="0"/>
        <v>Naviguer</v>
      </c>
      <c r="I133" s="103" t="str">
        <f t="shared" si="1"/>
        <v>Natation</v>
      </c>
      <c r="J133" s="103" t="str">
        <f t="shared" si="2"/>
        <v>Naviguer</v>
      </c>
      <c r="L133" s="74">
        <v>14</v>
      </c>
      <c r="P133" s="113"/>
      <c r="Q133" s="113"/>
      <c r="R133" s="113"/>
      <c r="S133" s="113"/>
      <c r="T133" s="74"/>
      <c r="U133" s="74"/>
      <c r="V133" s="74"/>
      <c r="AB133" s="45"/>
      <c r="AC133" s="45"/>
      <c r="AD133" s="45"/>
    </row>
    <row r="134" spans="1:30" ht="15.75" thickBot="1">
      <c r="A134" s="45">
        <v>2</v>
      </c>
      <c r="B134" s="45">
        <v>13</v>
      </c>
      <c r="C134" s="123">
        <f t="shared" si="3"/>
        <v>0</v>
      </c>
      <c r="D134" s="126">
        <f t="shared" si="4"/>
        <v>0</v>
      </c>
      <c r="E134" s="125" t="str">
        <f>IF(mdc&gt;2,AE15,IF(HLOOKUP(cc,bob,L134)=0," ",HLOOKUP(cc,bob,L134)))</f>
        <v>Convaincre</v>
      </c>
      <c r="G134" s="103" t="str">
        <f t="shared" si="5"/>
        <v>Psychologie</v>
      </c>
      <c r="H134" s="103" t="str">
        <f t="shared" si="0"/>
        <v>Tactique</v>
      </c>
      <c r="I134" s="103" t="str">
        <f t="shared" si="1"/>
        <v>Convaincre</v>
      </c>
      <c r="J134" s="103" t="str">
        <f t="shared" si="2"/>
        <v>Lutte</v>
      </c>
      <c r="L134" s="74">
        <v>15</v>
      </c>
      <c r="P134" s="114"/>
      <c r="Q134" s="114"/>
      <c r="R134" s="114"/>
      <c r="S134" s="114"/>
      <c r="T134" s="74"/>
      <c r="U134" s="74"/>
      <c r="V134" s="74"/>
      <c r="AB134" s="45"/>
      <c r="AC134" s="45"/>
      <c r="AD134" s="45"/>
    </row>
    <row r="135" spans="1:30" ht="15.75" thickBot="1">
      <c r="A135" s="45">
        <v>3</v>
      </c>
      <c r="B135" s="45">
        <v>14</v>
      </c>
      <c r="C135" s="123">
        <f t="shared" si="3"/>
        <v>0</v>
      </c>
      <c r="D135" s="127">
        <f t="shared" si="4"/>
        <v>0</v>
      </c>
      <c r="E135" s="125" t="str">
        <f>IF(mdc&gt;2,AE16,IF(HLOOKUP(cc,bob,L135)=0," ",HLOOKUP(cc,bob,L135)))</f>
        <v>Artisanat (2)</v>
      </c>
      <c r="G135" s="103" t="str">
        <f t="shared" si="5"/>
        <v>Peinture</v>
      </c>
      <c r="H135" s="103" t="str">
        <f t="shared" si="0"/>
        <v>Convaincre</v>
      </c>
      <c r="I135" s="103" t="str">
        <f t="shared" si="1"/>
        <v>Artisanat (2)</v>
      </c>
      <c r="J135" s="103">
        <f t="shared" si="2"/>
        <v>0</v>
      </c>
      <c r="L135" s="74">
        <v>16</v>
      </c>
      <c r="P135" s="112" t="s">
        <v>515</v>
      </c>
      <c r="Q135" s="112" t="s">
        <v>534</v>
      </c>
      <c r="R135" s="112" t="s">
        <v>534</v>
      </c>
      <c r="S135" s="112" t="s">
        <v>534</v>
      </c>
      <c r="T135" s="74"/>
      <c r="U135" s="74"/>
      <c r="V135" s="74"/>
      <c r="AB135" s="45"/>
      <c r="AC135" s="45"/>
      <c r="AD135" s="45"/>
    </row>
    <row r="136" spans="1:30" ht="15.75" thickBot="1">
      <c r="A136" s="45">
        <v>1</v>
      </c>
      <c r="B136" s="45">
        <v>15</v>
      </c>
      <c r="C136" s="123">
        <f t="shared" si="3"/>
        <v>2</v>
      </c>
      <c r="D136" s="129" t="str">
        <f t="shared" si="4"/>
        <v>Au choix à + 2 :  </v>
      </c>
      <c r="E136" s="125" t="str">
        <f>IF(mdc&gt;2,AE17,IF(HLOOKUP(cc,bob,L136)=0," ",HLOOKUP(cc,bob,L136)))</f>
        <v>Orientation</v>
      </c>
      <c r="G136" s="103" t="str">
        <f t="shared" si="5"/>
        <v>Droit</v>
      </c>
      <c r="H136" s="103" t="str">
        <f t="shared" si="0"/>
        <v>Droit</v>
      </c>
      <c r="I136" s="103" t="str">
        <f t="shared" si="1"/>
        <v>Orientation</v>
      </c>
      <c r="J136" s="103" t="str">
        <f t="shared" si="2"/>
        <v>Orientation</v>
      </c>
      <c r="L136" s="74">
        <v>17</v>
      </c>
      <c r="P136" s="113"/>
      <c r="Q136" s="113"/>
      <c r="R136" s="113"/>
      <c r="S136" s="113"/>
      <c r="T136" s="74"/>
      <c r="U136" s="74"/>
      <c r="V136" s="74"/>
      <c r="AB136" s="45"/>
      <c r="AC136" s="45"/>
      <c r="AD136" s="45"/>
    </row>
    <row r="137" spans="1:30" ht="15.75" thickBot="1">
      <c r="A137" s="45">
        <v>2</v>
      </c>
      <c r="B137" s="45">
        <v>16</v>
      </c>
      <c r="C137" s="123">
        <f t="shared" si="3"/>
        <v>0</v>
      </c>
      <c r="D137" s="126">
        <f t="shared" si="4"/>
        <v>0</v>
      </c>
      <c r="E137" s="125" t="str">
        <f>IF(mdc&gt;2,AE18,IF(HLOOKUP(cc,bob,L137)=0," ",HLOOKUP(cc,bob,L137)))</f>
        <v>Corps à corps</v>
      </c>
      <c r="G137" s="103" t="str">
        <f t="shared" si="5"/>
        <v>Soins</v>
      </c>
      <c r="H137" s="103" t="str">
        <f t="shared" si="0"/>
        <v>Soins</v>
      </c>
      <c r="I137" s="103" t="str">
        <f t="shared" si="1"/>
        <v>Corps à corps</v>
      </c>
      <c r="J137" s="103" t="str">
        <f t="shared" si="2"/>
        <v>Charpente</v>
      </c>
      <c r="L137" s="74">
        <v>18</v>
      </c>
      <c r="P137" s="114"/>
      <c r="Q137" s="114"/>
      <c r="R137" s="114"/>
      <c r="S137" s="114"/>
      <c r="T137" s="74"/>
      <c r="U137" s="74"/>
      <c r="V137" s="74"/>
      <c r="AB137" s="45"/>
      <c r="AC137" s="45"/>
      <c r="AD137" s="45"/>
    </row>
    <row r="138" spans="1:30" ht="16.5" thickBot="1">
      <c r="A138" s="45">
        <v>3</v>
      </c>
      <c r="B138" s="45">
        <v>17</v>
      </c>
      <c r="C138" s="123">
        <f t="shared" si="3"/>
        <v>0</v>
      </c>
      <c r="D138" s="127">
        <f t="shared" si="4"/>
        <v>0</v>
      </c>
      <c r="E138" s="125" t="str">
        <f>IF(mdc&gt;2,AE19,IF(HLOOKUP(cc,bob,L138)=0," ",HLOOKUP(cc,bob,L138)))</f>
        <v>Théologie</v>
      </c>
      <c r="G138" s="103" t="str">
        <f t="shared" si="5"/>
        <v>Natation</v>
      </c>
      <c r="H138" s="103" t="str">
        <f t="shared" si="0"/>
        <v>Natation</v>
      </c>
      <c r="I138" s="103" t="str">
        <f t="shared" si="1"/>
        <v>Théologie</v>
      </c>
      <c r="J138" s="103">
        <f t="shared" si="2"/>
        <v>0</v>
      </c>
      <c r="L138" s="74">
        <v>19</v>
      </c>
      <c r="P138" s="115" t="s">
        <v>521</v>
      </c>
      <c r="Q138" s="115" t="s">
        <v>521</v>
      </c>
      <c r="R138" s="115" t="s">
        <v>521</v>
      </c>
      <c r="S138" s="115" t="s">
        <v>521</v>
      </c>
      <c r="T138" s="74"/>
      <c r="U138" s="74"/>
      <c r="V138" s="74"/>
      <c r="AB138" s="45"/>
      <c r="AC138" s="45"/>
      <c r="AD138" s="45"/>
    </row>
    <row r="139" spans="2:30" ht="16.5" thickBot="1">
      <c r="B139" s="45">
        <v>18</v>
      </c>
      <c r="C139" s="123">
        <f t="shared" si="3"/>
        <v>0</v>
      </c>
      <c r="D139" s="124" t="str">
        <f t="shared" si="4"/>
        <v>Compétences  automatiques : </v>
      </c>
      <c r="E139" s="125" t="str">
        <f>IF(mdc&gt;2,AE20,IF(HLOOKUP(cc,bob,L139)=0," ",HLOOKUP(cc,bob,L139)))</f>
        <v>Phalange</v>
      </c>
      <c r="G139" s="103" t="str">
        <f t="shared" si="5"/>
        <v>Phalange</v>
      </c>
      <c r="H139" s="103" t="str">
        <f t="shared" si="0"/>
        <v>Phalange</v>
      </c>
      <c r="I139" s="103" t="str">
        <f t="shared" si="1"/>
        <v>Phalange</v>
      </c>
      <c r="J139" s="103" t="str">
        <f t="shared" si="2"/>
        <v>Ramer</v>
      </c>
      <c r="L139" s="74">
        <v>20</v>
      </c>
      <c r="P139" s="116"/>
      <c r="Q139" s="116"/>
      <c r="R139" s="116"/>
      <c r="S139" s="116"/>
      <c r="T139" s="74"/>
      <c r="U139" s="74"/>
      <c r="V139" s="74"/>
      <c r="AB139" s="45"/>
      <c r="AC139" s="45"/>
      <c r="AD139" s="45"/>
    </row>
    <row r="140" spans="2:30" ht="16.5" thickBot="1">
      <c r="B140" s="45">
        <v>19</v>
      </c>
      <c r="C140" s="123">
        <f t="shared" si="3"/>
        <v>0</v>
      </c>
      <c r="D140" s="127">
        <f t="shared" si="4"/>
        <v>0</v>
      </c>
      <c r="E140" s="125" t="str">
        <f>IF(mdc&gt;2,AE21,IF(HLOOKUP(cc,bob,L140)=0," ",HLOOKUP(cc,bob,L140)))</f>
        <v> </v>
      </c>
      <c r="G140" s="103">
        <f t="shared" si="5"/>
        <v>0</v>
      </c>
      <c r="H140" s="103">
        <f t="shared" si="0"/>
        <v>0</v>
      </c>
      <c r="I140" s="103">
        <f t="shared" si="1"/>
        <v>0</v>
      </c>
      <c r="J140" s="103">
        <f t="shared" si="2"/>
        <v>0</v>
      </c>
      <c r="L140" s="74">
        <v>21</v>
      </c>
      <c r="P140" s="117" t="s">
        <v>646</v>
      </c>
      <c r="Q140" s="117" t="s">
        <v>531</v>
      </c>
      <c r="R140" s="117" t="s">
        <v>545</v>
      </c>
      <c r="S140" s="117" t="s">
        <v>545</v>
      </c>
      <c r="T140" s="74"/>
      <c r="U140" s="74"/>
      <c r="V140" s="74"/>
      <c r="AB140" s="45"/>
      <c r="AC140" s="45"/>
      <c r="AD140" s="45"/>
    </row>
    <row r="141" spans="2:30" ht="16.5" thickBot="1">
      <c r="B141" s="45">
        <v>20</v>
      </c>
      <c r="C141" s="123">
        <f t="shared" si="3"/>
        <v>3</v>
      </c>
      <c r="D141" s="124" t="str">
        <f t="shared" si="4"/>
        <v>Langues maîtrisées :  + 3</v>
      </c>
      <c r="E141" s="125" t="str">
        <f>IF(HLOOKUP(cc,bob,L141)=0," ",HLOOKUP(cc,bob,L141))</f>
        <v>Etrusque</v>
      </c>
      <c r="G141" s="103" t="str">
        <f t="shared" si="5"/>
        <v>Etrusque</v>
      </c>
      <c r="H141" s="103" t="str">
        <f t="shared" si="0"/>
        <v>Etrusque</v>
      </c>
      <c r="I141" s="103" t="str">
        <f t="shared" si="1"/>
        <v>Etrusque</v>
      </c>
      <c r="J141" s="103" t="str">
        <f t="shared" si="2"/>
        <v>Etrusque</v>
      </c>
      <c r="L141" s="74">
        <v>22</v>
      </c>
      <c r="P141" s="115" t="s">
        <v>552</v>
      </c>
      <c r="Q141" s="115" t="s">
        <v>554</v>
      </c>
      <c r="R141" s="115" t="s">
        <v>559</v>
      </c>
      <c r="S141" s="115" t="s">
        <v>595</v>
      </c>
      <c r="T141" s="74"/>
      <c r="U141" s="74"/>
      <c r="V141" s="74"/>
      <c r="AB141" s="45"/>
      <c r="AC141" s="45"/>
      <c r="AD141" s="45"/>
    </row>
    <row r="142" spans="2:30" ht="16.5" thickBot="1">
      <c r="B142" s="45">
        <v>21</v>
      </c>
      <c r="C142" s="123">
        <f t="shared" si="3"/>
        <v>1</v>
      </c>
      <c r="D142" s="126" t="str">
        <f t="shared" si="4"/>
        <v>Langues maîtrisées : +1</v>
      </c>
      <c r="E142" s="125" t="str">
        <f>HLOOKUP(cc,bob,L142)</f>
        <v>Latin</v>
      </c>
      <c r="G142" s="103" t="str">
        <f t="shared" si="5"/>
        <v>Latin</v>
      </c>
      <c r="H142" s="103" t="str">
        <f t="shared" si="0"/>
        <v>Latin</v>
      </c>
      <c r="I142" s="103" t="str">
        <f t="shared" si="1"/>
        <v>Latin</v>
      </c>
      <c r="J142" s="103" t="str">
        <f t="shared" si="2"/>
        <v>Latin</v>
      </c>
      <c r="L142" s="74">
        <v>23</v>
      </c>
      <c r="P142" s="115" t="s">
        <v>556</v>
      </c>
      <c r="Q142" s="115" t="s">
        <v>556</v>
      </c>
      <c r="R142" s="115"/>
      <c r="S142" s="115"/>
      <c r="T142" s="74"/>
      <c r="U142" s="74"/>
      <c r="V142" s="74"/>
      <c r="AB142" s="45"/>
      <c r="AC142" s="45"/>
      <c r="AD142" s="45"/>
    </row>
    <row r="143" spans="2:30" ht="16.5" thickBot="1">
      <c r="B143" s="45">
        <v>22</v>
      </c>
      <c r="C143" s="123">
        <f t="shared" si="3"/>
        <v>0</v>
      </c>
      <c r="D143" s="127">
        <f t="shared" si="4"/>
        <v>0</v>
      </c>
      <c r="E143" s="125">
        <f>HLOOKUP(cc,bob,L143)</f>
        <v>0</v>
      </c>
      <c r="G143" s="103" t="str">
        <f t="shared" si="5"/>
        <v>Koinè</v>
      </c>
      <c r="H143" s="103" t="str">
        <f t="shared" si="0"/>
        <v>Koinè</v>
      </c>
      <c r="I143" s="103">
        <f t="shared" si="1"/>
        <v>0</v>
      </c>
      <c r="J143" s="103">
        <f t="shared" si="2"/>
        <v>0</v>
      </c>
      <c r="L143" s="74">
        <v>24</v>
      </c>
      <c r="P143" s="115" t="s">
        <v>525</v>
      </c>
      <c r="Q143" s="115" t="s">
        <v>525</v>
      </c>
      <c r="R143" s="115" t="s">
        <v>525</v>
      </c>
      <c r="S143" s="115" t="s">
        <v>525</v>
      </c>
      <c r="T143" s="74"/>
      <c r="U143" s="74"/>
      <c r="V143" s="74"/>
      <c r="AB143" s="45"/>
      <c r="AC143" s="45"/>
      <c r="AD143" s="45"/>
    </row>
    <row r="144" spans="2:30" ht="16.5" thickBot="1">
      <c r="B144" s="45">
        <v>23</v>
      </c>
      <c r="C144" s="123">
        <f t="shared" si="3"/>
        <v>0</v>
      </c>
      <c r="D144" s="130" t="str">
        <f t="shared" si="4"/>
        <v>Fortune : (oboles)</v>
      </c>
      <c r="E144" s="131">
        <f>HLOOKUP(cc,bob,L144)</f>
        <v>100</v>
      </c>
      <c r="G144" s="103">
        <f t="shared" si="5"/>
        <v>500</v>
      </c>
      <c r="H144" s="103">
        <f t="shared" si="0"/>
        <v>200</v>
      </c>
      <c r="I144" s="103">
        <f t="shared" si="1"/>
        <v>100</v>
      </c>
      <c r="J144" s="103">
        <f t="shared" si="2"/>
        <v>50</v>
      </c>
      <c r="L144" s="74">
        <v>25</v>
      </c>
      <c r="P144" s="118" t="s">
        <v>523</v>
      </c>
      <c r="Q144" s="115" t="s">
        <v>523</v>
      </c>
      <c r="R144" s="115" t="s">
        <v>523</v>
      </c>
      <c r="S144" s="115" t="s">
        <v>523</v>
      </c>
      <c r="T144" s="74"/>
      <c r="U144" s="74"/>
      <c r="V144" s="74"/>
      <c r="AB144" s="45"/>
      <c r="AC144" s="45"/>
      <c r="AD144" s="45"/>
    </row>
    <row r="145" spans="2:30" ht="16.5" thickBot="1">
      <c r="B145" s="45">
        <v>24</v>
      </c>
      <c r="C145" s="123">
        <f t="shared" si="3"/>
        <v>0</v>
      </c>
      <c r="D145" s="124" t="str">
        <f t="shared" si="4"/>
        <v>Armes : </v>
      </c>
      <c r="E145" s="125" t="str">
        <f>IF(mdc&gt;2,AE26,HLOOKUP(cc,bob,L145))</f>
        <v>un bouclier moyen, un glaive et une sarisse.</v>
      </c>
      <c r="G145" s="103" t="str">
        <f t="shared" si="5"/>
        <v>un glaive, une lance et un bouclier simple.</v>
      </c>
      <c r="H145" s="103" t="str">
        <f t="shared" si="0"/>
        <v>un bouclier moyen, un glaive et une sarisse.</v>
      </c>
      <c r="I145" s="103" t="str">
        <f t="shared" si="1"/>
        <v>un bouclier moyen, un glaive et une sarisse.</v>
      </c>
      <c r="J145" s="103" t="str">
        <f t="shared" si="2"/>
        <v>deux javelots, un glaive et un bouclier simple</v>
      </c>
      <c r="L145" s="74">
        <v>26</v>
      </c>
      <c r="P145" s="119"/>
      <c r="Q145" s="116"/>
      <c r="R145" s="116"/>
      <c r="S145" s="116"/>
      <c r="T145" s="74"/>
      <c r="U145" s="74"/>
      <c r="V145" s="74"/>
      <c r="AB145" s="45"/>
      <c r="AC145" s="45"/>
      <c r="AD145" s="45"/>
    </row>
    <row r="146" spans="2:30" ht="16.5" thickBot="1">
      <c r="B146" s="45">
        <v>25</v>
      </c>
      <c r="C146" s="123">
        <f t="shared" si="3"/>
        <v>0</v>
      </c>
      <c r="D146" s="127">
        <f t="shared" si="4"/>
        <v>0</v>
      </c>
      <c r="E146" s="125">
        <f>IF(mdc&gt;2,AE27,HLOOKUP(cc,bob,L146))</f>
        <v>0</v>
      </c>
      <c r="G146" s="103">
        <f t="shared" si="5"/>
        <v>0</v>
      </c>
      <c r="H146" s="103">
        <f t="shared" si="0"/>
        <v>0</v>
      </c>
      <c r="I146" s="103">
        <f t="shared" si="1"/>
        <v>0</v>
      </c>
      <c r="J146" s="103">
        <f t="shared" si="2"/>
        <v>0</v>
      </c>
      <c r="L146" s="74">
        <v>27</v>
      </c>
      <c r="P146" s="115" t="s">
        <v>526</v>
      </c>
      <c r="Q146" s="61" t="s">
        <v>526</v>
      </c>
      <c r="R146" s="119" t="s">
        <v>526</v>
      </c>
      <c r="S146" s="119" t="s">
        <v>526</v>
      </c>
      <c r="T146" s="74"/>
      <c r="U146" s="74"/>
      <c r="V146" s="74"/>
      <c r="AB146" s="45"/>
      <c r="AC146" s="45"/>
      <c r="AD146" s="45"/>
    </row>
    <row r="147" spans="2:30" ht="16.5" thickBot="1">
      <c r="B147" s="45">
        <v>26</v>
      </c>
      <c r="C147" s="123">
        <f t="shared" si="3"/>
        <v>0</v>
      </c>
      <c r="D147" s="124" t="str">
        <f t="shared" si="4"/>
        <v>Armures : </v>
      </c>
      <c r="E147" s="125" t="str">
        <f>IF(mdc&gt;2,AE28,HLOOKUP(cc,bob,L147))</f>
        <v>Casque de plaque (Crâne et Visage à 10 points), Cuirasse de plaque (Thorax et Ventre à 10 points), Jupe de cuir souple (Hanches et Cuisses à 3 points).</v>
      </c>
      <c r="G147" s="103" t="str">
        <f t="shared" si="5"/>
        <v>Casque de plaque (Crâne et Visage 10 points), Cuirasse de plaque (Thorax et Ventre à 10 points), Jupe de cuir souple (Hanches et Cuisses à 3 points).</v>
      </c>
      <c r="H147" s="103" t="str">
        <f t="shared" si="0"/>
        <v>Casque de plaque (Crâne et Visage à 10 points), Cuirasse de plaque (Thorax et Ventre à 10 points), Jambières de plaque (Jarrets à 10 Points), Manchons de plaque (Avant-bras, 10 points), Jupe de cuir souple (Hanches et Cuisses à 3 points), Manches de cuir souple (Biceps à 3 points).</v>
      </c>
      <c r="I147" s="103" t="str">
        <f t="shared" si="1"/>
        <v>Casque de plaque (Crâne et Visage à 10 points), Cuirasse de plaque (Thorax et Ventre à 10 points), Jupe de cuir souple (Hanches et Cuisses à 3 points).</v>
      </c>
      <c r="J147" s="103" t="str">
        <f t="shared" si="2"/>
        <v>Vêtement épais (Cou, Thorax, Ventre, Hanches et Cuisses à 1 point).</v>
      </c>
      <c r="L147" s="74">
        <v>28</v>
      </c>
      <c r="P147" s="116"/>
      <c r="Q147" s="116"/>
      <c r="R147" s="101"/>
      <c r="S147" s="101"/>
      <c r="T147" s="74"/>
      <c r="U147" s="74"/>
      <c r="V147" s="74"/>
      <c r="AB147" s="45"/>
      <c r="AC147" s="45"/>
      <c r="AD147" s="45"/>
    </row>
    <row r="148" spans="2:30" ht="16.5" thickBot="1">
      <c r="B148" s="45">
        <v>27</v>
      </c>
      <c r="C148" s="123">
        <f t="shared" si="3"/>
        <v>0</v>
      </c>
      <c r="D148" s="127">
        <f t="shared" si="4"/>
        <v>0</v>
      </c>
      <c r="E148" s="125">
        <f>IF(mdc&gt;2,AE29,HLOOKUP(cc,bob,L148))</f>
        <v>0</v>
      </c>
      <c r="G148" s="103">
        <f t="shared" si="5"/>
        <v>0</v>
      </c>
      <c r="H148" s="103">
        <f t="shared" si="0"/>
        <v>0</v>
      </c>
      <c r="I148" s="103">
        <f t="shared" si="1"/>
        <v>0</v>
      </c>
      <c r="J148" s="103">
        <f t="shared" si="2"/>
        <v>0</v>
      </c>
      <c r="L148" s="74">
        <v>29</v>
      </c>
      <c r="P148" s="116" t="s">
        <v>528</v>
      </c>
      <c r="Q148" s="117" t="s">
        <v>528</v>
      </c>
      <c r="R148" s="117" t="s">
        <v>528</v>
      </c>
      <c r="S148" s="117" t="s">
        <v>528</v>
      </c>
      <c r="T148" s="74"/>
      <c r="U148" s="74"/>
      <c r="V148" s="74"/>
      <c r="AB148" s="45"/>
      <c r="AC148" s="45"/>
      <c r="AD148" s="45"/>
    </row>
    <row r="149" spans="2:30" ht="13.5" thickBot="1">
      <c r="B149" s="45">
        <v>28</v>
      </c>
      <c r="C149" s="123">
        <f t="shared" si="3"/>
        <v>0</v>
      </c>
      <c r="D149" s="130" t="str">
        <f t="shared" si="4"/>
        <v>Equipement supplémentaire : </v>
      </c>
      <c r="E149" s="125">
        <f>IF(mdc&gt;2,AE30,HLOOKUP(cc,bob,L149))</f>
        <v>0</v>
      </c>
      <c r="G149" s="103" t="str">
        <f t="shared" si="5"/>
        <v>un cheval, 1D6 feuilles de papyrus et du matériel d’écriture.</v>
      </c>
      <c r="H149" s="103">
        <f t="shared" si="0"/>
        <v>0</v>
      </c>
      <c r="I149" s="103">
        <f t="shared" si="1"/>
        <v>0</v>
      </c>
      <c r="J149" s="103">
        <f t="shared" si="2"/>
        <v>0</v>
      </c>
      <c r="L149" s="74">
        <v>30</v>
      </c>
      <c r="Q149" s="74"/>
      <c r="R149" s="45"/>
      <c r="S149" s="45"/>
      <c r="T149" s="74"/>
      <c r="U149" s="74"/>
      <c r="V149" s="74"/>
      <c r="AB149" s="45"/>
      <c r="AC149" s="45"/>
      <c r="AD149" s="45"/>
    </row>
    <row r="150" spans="12:30" ht="13.5" thickBot="1">
      <c r="L150" s="74">
        <v>31</v>
      </c>
      <c r="P150" s="108">
        <v>1</v>
      </c>
      <c r="Q150" s="109">
        <v>2</v>
      </c>
      <c r="R150" s="109">
        <v>3</v>
      </c>
      <c r="S150" s="110">
        <v>4</v>
      </c>
      <c r="T150" s="74"/>
      <c r="U150" s="74"/>
      <c r="V150" s="74"/>
      <c r="AB150" s="45"/>
      <c r="AC150" s="45"/>
      <c r="AD150" s="45"/>
    </row>
    <row r="151" spans="12:30" ht="12.75">
      <c r="L151" s="74">
        <v>32</v>
      </c>
      <c r="P151" s="111">
        <v>5</v>
      </c>
      <c r="Q151" s="50">
        <v>5</v>
      </c>
      <c r="R151" s="50">
        <v>5</v>
      </c>
      <c r="S151" s="50">
        <v>5</v>
      </c>
      <c r="T151" s="74"/>
      <c r="U151" s="74"/>
      <c r="V151" s="74"/>
      <c r="AB151" s="45"/>
      <c r="AC151" s="45"/>
      <c r="AD151" s="45"/>
    </row>
    <row r="152" spans="12:30" ht="12.75">
      <c r="L152" s="74">
        <v>33</v>
      </c>
      <c r="P152" s="43">
        <v>4</v>
      </c>
      <c r="Q152" s="50">
        <v>4</v>
      </c>
      <c r="R152" s="50">
        <v>4</v>
      </c>
      <c r="S152" s="50">
        <v>5</v>
      </c>
      <c r="T152" s="74"/>
      <c r="U152" s="74"/>
      <c r="V152" s="74"/>
      <c r="AB152" s="45"/>
      <c r="AC152" s="45"/>
      <c r="AD152" s="45"/>
    </row>
    <row r="153" spans="12:30" ht="12.75">
      <c r="L153" s="74">
        <v>34</v>
      </c>
      <c r="P153" s="43">
        <v>5</v>
      </c>
      <c r="Q153" s="50">
        <v>5</v>
      </c>
      <c r="R153" s="50">
        <v>5</v>
      </c>
      <c r="S153" s="50">
        <v>4</v>
      </c>
      <c r="T153" s="74"/>
      <c r="U153" s="74"/>
      <c r="V153" s="74"/>
      <c r="AB153" s="45"/>
      <c r="AC153" s="45"/>
      <c r="AD153" s="45"/>
    </row>
    <row r="154" spans="12:30" ht="12.75">
      <c r="L154" s="74">
        <v>35</v>
      </c>
      <c r="P154" s="43">
        <v>5</v>
      </c>
      <c r="Q154" s="50">
        <v>5</v>
      </c>
      <c r="R154" s="50">
        <v>4</v>
      </c>
      <c r="S154" s="50">
        <v>2</v>
      </c>
      <c r="T154" s="74"/>
      <c r="U154" s="74"/>
      <c r="V154" s="74"/>
      <c r="AB154" s="45"/>
      <c r="AC154" s="45"/>
      <c r="AD154" s="45"/>
    </row>
    <row r="155" spans="12:30" ht="12.75">
      <c r="L155" s="74">
        <v>36</v>
      </c>
      <c r="P155" s="43">
        <v>2</v>
      </c>
      <c r="Q155" s="50">
        <v>2</v>
      </c>
      <c r="R155" s="43"/>
      <c r="S155" s="50">
        <v>2</v>
      </c>
      <c r="T155" s="74"/>
      <c r="U155" s="74"/>
      <c r="V155" s="74"/>
      <c r="AB155" s="45"/>
      <c r="AC155" s="45"/>
      <c r="AD155" s="45"/>
    </row>
    <row r="156" spans="12:30" ht="12.75">
      <c r="L156" s="74">
        <v>37</v>
      </c>
      <c r="P156" s="43">
        <v>2</v>
      </c>
      <c r="Q156" s="43">
        <v>2</v>
      </c>
      <c r="R156" s="43">
        <v>2</v>
      </c>
      <c r="S156" s="43">
        <v>2</v>
      </c>
      <c r="T156" s="74"/>
      <c r="U156" s="74"/>
      <c r="V156" s="74"/>
      <c r="AB156" s="45"/>
      <c r="AC156" s="45"/>
      <c r="AD156" s="45"/>
    </row>
    <row r="157" spans="12:30" ht="12.75">
      <c r="L157" s="74">
        <v>38</v>
      </c>
      <c r="P157" s="43"/>
      <c r="Q157" s="43"/>
      <c r="R157" s="43"/>
      <c r="S157" s="43"/>
      <c r="T157" s="74"/>
      <c r="U157" s="74"/>
      <c r="V157" s="74"/>
      <c r="AB157" s="45"/>
      <c r="AC157" s="45"/>
      <c r="AD157" s="45"/>
    </row>
    <row r="158" spans="12:30" ht="12.75">
      <c r="L158" s="74">
        <v>39</v>
      </c>
      <c r="P158" s="43"/>
      <c r="Q158" s="43"/>
      <c r="R158" s="43"/>
      <c r="S158" s="43"/>
      <c r="T158" s="74"/>
      <c r="U158" s="74"/>
      <c r="V158" s="74"/>
      <c r="AB158" s="45"/>
      <c r="AC158" s="45"/>
      <c r="AD158" s="45"/>
    </row>
    <row r="159" spans="12:30" ht="12.75">
      <c r="L159" s="74">
        <v>40</v>
      </c>
      <c r="P159" s="43"/>
      <c r="Q159" s="43">
        <v>4</v>
      </c>
      <c r="R159" s="43">
        <v>4</v>
      </c>
      <c r="S159" s="43">
        <v>4</v>
      </c>
      <c r="T159" s="74"/>
      <c r="U159" s="74"/>
      <c r="V159" s="74"/>
      <c r="AB159" s="45"/>
      <c r="AC159" s="45"/>
      <c r="AD159" s="45"/>
    </row>
    <row r="160" spans="12:30" ht="12.75">
      <c r="L160" s="74">
        <v>41</v>
      </c>
      <c r="P160" s="43"/>
      <c r="Q160" s="43"/>
      <c r="R160" s="43"/>
      <c r="S160" s="43"/>
      <c r="T160" s="74"/>
      <c r="U160" s="74"/>
      <c r="V160" s="74"/>
      <c r="AB160" s="45"/>
      <c r="AC160" s="45"/>
      <c r="AD160" s="45"/>
    </row>
    <row r="161" spans="12:30" ht="12.75">
      <c r="L161" s="74">
        <v>42</v>
      </c>
      <c r="P161" s="43"/>
      <c r="Q161" s="43"/>
      <c r="R161" s="43"/>
      <c r="S161" s="43"/>
      <c r="T161" s="74"/>
      <c r="U161" s="74"/>
      <c r="V161" s="74"/>
      <c r="AB161" s="45"/>
      <c r="AC161" s="45"/>
      <c r="AD161" s="45"/>
    </row>
    <row r="162" spans="12:30" ht="12.75">
      <c r="L162" s="74">
        <v>43</v>
      </c>
      <c r="P162" s="43"/>
      <c r="Q162" s="43">
        <v>3</v>
      </c>
      <c r="R162" s="43">
        <v>3</v>
      </c>
      <c r="S162" s="43">
        <v>3</v>
      </c>
      <c r="T162" s="74"/>
      <c r="U162" s="74"/>
      <c r="V162" s="74"/>
      <c r="AB162" s="45"/>
      <c r="AC162" s="45"/>
      <c r="AD162" s="45"/>
    </row>
    <row r="163" spans="12:30" ht="12.75">
      <c r="L163" s="74">
        <v>44</v>
      </c>
      <c r="P163" s="43"/>
      <c r="Q163" s="43"/>
      <c r="R163" s="43"/>
      <c r="S163" s="43"/>
      <c r="T163" s="74"/>
      <c r="U163" s="74"/>
      <c r="V163" s="74"/>
      <c r="AB163" s="45"/>
      <c r="AC163" s="45"/>
      <c r="AD163" s="45"/>
    </row>
    <row r="164" spans="12:30" ht="12.75">
      <c r="L164" s="74">
        <v>45</v>
      </c>
      <c r="P164" s="43"/>
      <c r="Q164" s="43"/>
      <c r="R164" s="43"/>
      <c r="S164" s="43"/>
      <c r="T164" s="74"/>
      <c r="U164" s="74"/>
      <c r="V164" s="74"/>
      <c r="AB164" s="45"/>
      <c r="AC164" s="45"/>
      <c r="AD164" s="45"/>
    </row>
    <row r="165" spans="12:30" ht="12.75">
      <c r="L165" s="74">
        <v>46</v>
      </c>
      <c r="P165" s="43"/>
      <c r="Q165" s="43">
        <v>2</v>
      </c>
      <c r="R165" s="43">
        <v>2</v>
      </c>
      <c r="S165" s="43">
        <v>2</v>
      </c>
      <c r="T165" s="74"/>
      <c r="U165" s="74"/>
      <c r="V165" s="74"/>
      <c r="AB165" s="45"/>
      <c r="AC165" s="45"/>
      <c r="AD165" s="45"/>
    </row>
    <row r="166" spans="12:30" ht="12.75">
      <c r="L166" s="74">
        <v>47</v>
      </c>
      <c r="P166" s="43"/>
      <c r="Q166" s="43"/>
      <c r="R166" s="43"/>
      <c r="S166" s="43"/>
      <c r="T166" s="74"/>
      <c r="U166" s="74"/>
      <c r="V166" s="74"/>
      <c r="AB166" s="45"/>
      <c r="AC166" s="45"/>
      <c r="AD166" s="45"/>
    </row>
    <row r="167" spans="12:30" ht="12.75">
      <c r="L167" s="74">
        <v>48</v>
      </c>
      <c r="P167" s="43"/>
      <c r="Q167" s="43"/>
      <c r="R167" s="43"/>
      <c r="S167" s="43"/>
      <c r="T167" s="74"/>
      <c r="U167" s="74"/>
      <c r="V167" s="74"/>
      <c r="AB167" s="45"/>
      <c r="AC167" s="45"/>
      <c r="AD167" s="45"/>
    </row>
    <row r="168" spans="12:30" ht="12.75">
      <c r="L168" s="74">
        <v>49</v>
      </c>
      <c r="P168" s="43"/>
      <c r="Q168" s="43"/>
      <c r="R168" s="43"/>
      <c r="S168" s="43"/>
      <c r="T168" s="74"/>
      <c r="U168" s="74"/>
      <c r="V168" s="74"/>
      <c r="AB168" s="45"/>
      <c r="AC168" s="45"/>
      <c r="AD168" s="45"/>
    </row>
    <row r="169" spans="12:30" ht="12.75">
      <c r="L169" s="74">
        <v>50</v>
      </c>
      <c r="P169" s="43"/>
      <c r="Q169" s="43"/>
      <c r="R169" s="43"/>
      <c r="S169" s="43"/>
      <c r="T169" s="74"/>
      <c r="U169" s="74"/>
      <c r="V169" s="74"/>
      <c r="AB169" s="45"/>
      <c r="AC169" s="45"/>
      <c r="AD169" s="45"/>
    </row>
    <row r="170" spans="12:30" ht="12.75">
      <c r="L170" s="74">
        <v>51</v>
      </c>
      <c r="P170" s="43">
        <v>5</v>
      </c>
      <c r="Q170" s="43">
        <v>4</v>
      </c>
      <c r="R170" s="43">
        <v>3</v>
      </c>
      <c r="S170" s="43">
        <v>3</v>
      </c>
      <c r="T170" s="74"/>
      <c r="U170" s="74"/>
      <c r="V170" s="74"/>
      <c r="AB170" s="45"/>
      <c r="AC170" s="45"/>
      <c r="AD170" s="45"/>
    </row>
    <row r="171" spans="12:30" ht="12.75">
      <c r="L171" s="74">
        <v>52</v>
      </c>
      <c r="P171" s="43">
        <v>3</v>
      </c>
      <c r="Q171" s="43">
        <v>2</v>
      </c>
      <c r="R171" s="43">
        <v>1</v>
      </c>
      <c r="S171" s="43">
        <v>1</v>
      </c>
      <c r="T171" s="74"/>
      <c r="U171" s="74"/>
      <c r="V171" s="74"/>
      <c r="AB171" s="45"/>
      <c r="AC171" s="45"/>
      <c r="AD171" s="45"/>
    </row>
    <row r="172" spans="12:30" ht="12.75">
      <c r="L172" s="74">
        <v>53</v>
      </c>
      <c r="P172" s="43">
        <v>1</v>
      </c>
      <c r="Q172" s="43">
        <v>1</v>
      </c>
      <c r="R172" s="43"/>
      <c r="S172" s="43"/>
      <c r="T172" s="74"/>
      <c r="U172" s="74"/>
      <c r="V172" s="74"/>
      <c r="AB172" s="45"/>
      <c r="AC172" s="45"/>
      <c r="AD172" s="45"/>
    </row>
    <row r="173" spans="12:30" ht="12.75">
      <c r="L173" s="74">
        <v>54</v>
      </c>
      <c r="P173" s="43"/>
      <c r="Q173" s="43"/>
      <c r="R173" s="43"/>
      <c r="S173" s="43"/>
      <c r="T173" s="74"/>
      <c r="U173" s="74"/>
      <c r="V173" s="74"/>
      <c r="AB173" s="45"/>
      <c r="AC173" s="45"/>
      <c r="AD173" s="45"/>
    </row>
    <row r="174" spans="12:30" ht="12.75">
      <c r="L174" s="74">
        <v>55</v>
      </c>
      <c r="P174" s="43"/>
      <c r="Q174" s="43"/>
      <c r="R174" s="43"/>
      <c r="S174" s="43"/>
      <c r="T174" s="74"/>
      <c r="U174" s="74"/>
      <c r="V174" s="74"/>
      <c r="AB174" s="45"/>
      <c r="AC174" s="45"/>
      <c r="AD174" s="45"/>
    </row>
    <row r="175" spans="12:30" ht="12.75">
      <c r="L175" s="74">
        <v>56</v>
      </c>
      <c r="P175" s="43"/>
      <c r="Q175" s="43"/>
      <c r="R175" s="43"/>
      <c r="S175" s="43"/>
      <c r="T175" s="74"/>
      <c r="U175" s="74"/>
      <c r="V175" s="74"/>
      <c r="AB175" s="45"/>
      <c r="AC175" s="45"/>
      <c r="AD175" s="45"/>
    </row>
    <row r="176" spans="12:30" ht="12.75">
      <c r="L176" s="74">
        <v>57</v>
      </c>
      <c r="P176" s="43"/>
      <c r="Q176" s="43"/>
      <c r="R176" s="43"/>
      <c r="S176" s="43"/>
      <c r="T176" s="74"/>
      <c r="U176" s="74"/>
      <c r="V176" s="74"/>
      <c r="AB176" s="45"/>
      <c r="AC176" s="45"/>
      <c r="AD176" s="45"/>
    </row>
    <row r="177" spans="12:30" ht="12.75">
      <c r="L177" s="74">
        <v>58</v>
      </c>
      <c r="P177" s="43"/>
      <c r="Q177" s="43"/>
      <c r="R177" s="43"/>
      <c r="S177" s="43"/>
      <c r="T177" s="74"/>
      <c r="U177" s="74"/>
      <c r="V177" s="74"/>
      <c r="AB177" s="45"/>
      <c r="AC177" s="45"/>
      <c r="AD177" s="45"/>
    </row>
    <row r="178" spans="12:30" ht="12.75">
      <c r="L178" s="74">
        <v>59</v>
      </c>
      <c r="P178" s="43"/>
      <c r="Q178" s="43"/>
      <c r="R178" s="43"/>
      <c r="S178" s="43"/>
      <c r="T178" s="74"/>
      <c r="U178" s="74"/>
      <c r="V178" s="74"/>
      <c r="AB178" s="45"/>
      <c r="AC178" s="45"/>
      <c r="AD178" s="45"/>
    </row>
    <row r="179" spans="12:30" ht="12.75">
      <c r="L179" s="74">
        <v>60</v>
      </c>
      <c r="V179" s="74"/>
      <c r="AD179" s="45"/>
    </row>
    <row r="180" spans="12:30" ht="12.75">
      <c r="L180" s="74">
        <v>61</v>
      </c>
      <c r="V180" s="74"/>
      <c r="AD180" s="45"/>
    </row>
    <row r="181" spans="12:30" ht="12.75">
      <c r="L181" s="74">
        <v>62</v>
      </c>
      <c r="V181" s="74"/>
      <c r="AD181" s="45"/>
    </row>
    <row r="182" spans="12:30" ht="12.75">
      <c r="L182" s="74">
        <v>63</v>
      </c>
      <c r="V182" s="74"/>
      <c r="AD182" s="45"/>
    </row>
    <row r="183" spans="12:30" ht="12.75">
      <c r="L183" s="74">
        <v>64</v>
      </c>
      <c r="V183" s="74"/>
      <c r="AD183" s="45"/>
    </row>
    <row r="184" spans="12:30" ht="12.75">
      <c r="L184" s="74">
        <v>65</v>
      </c>
      <c r="V184" s="74"/>
      <c r="AD184" s="45"/>
    </row>
    <row r="185" spans="12:30" ht="12.75">
      <c r="L185" s="74">
        <v>66</v>
      </c>
      <c r="V185" s="74"/>
      <c r="AD185" s="45"/>
    </row>
    <row r="186" spans="12:30" ht="12.75">
      <c r="L186" s="74">
        <v>67</v>
      </c>
      <c r="V186" s="74"/>
      <c r="AD186" s="45"/>
    </row>
    <row r="187" spans="12:30" ht="12.75">
      <c r="L187" s="74">
        <v>68</v>
      </c>
      <c r="V187" s="74"/>
      <c r="AD187" s="45"/>
    </row>
    <row r="188" spans="12:30" ht="12.75">
      <c r="L188" s="74">
        <v>69</v>
      </c>
      <c r="V188" s="74"/>
      <c r="AD188" s="45"/>
    </row>
    <row r="189" spans="12:30" ht="12.75">
      <c r="L189" s="74">
        <v>70</v>
      </c>
      <c r="V189" s="74"/>
      <c r="AD189" s="45"/>
    </row>
    <row r="190" spans="12:30" ht="12.75">
      <c r="L190" s="74">
        <v>71</v>
      </c>
      <c r="V190" s="74"/>
      <c r="AD190" s="45"/>
    </row>
    <row r="191" spans="12:30" ht="12.75">
      <c r="L191" s="74">
        <v>72</v>
      </c>
      <c r="V191" s="74"/>
      <c r="AD191" s="45"/>
    </row>
    <row r="192" spans="12:30" ht="12.75">
      <c r="L192" s="74">
        <v>73</v>
      </c>
      <c r="V192" s="74"/>
      <c r="AD192" s="45"/>
    </row>
    <row r="193" spans="12:30" ht="12.75">
      <c r="L193" s="74">
        <v>74</v>
      </c>
      <c r="V193" s="74"/>
      <c r="AD193" s="45"/>
    </row>
    <row r="194" spans="12:30" ht="12.75">
      <c r="L194" s="74">
        <v>75</v>
      </c>
      <c r="V194" s="74"/>
      <c r="AD194" s="45"/>
    </row>
    <row r="195" spans="12:30" ht="12.75">
      <c r="L195" s="74">
        <v>76</v>
      </c>
      <c r="V195" s="74"/>
      <c r="AD195" s="45"/>
    </row>
    <row r="196" spans="12:30" ht="12.75">
      <c r="L196" s="74">
        <v>77</v>
      </c>
      <c r="V196" s="74"/>
      <c r="AD196" s="45"/>
    </row>
    <row r="197" spans="12:30" ht="12.75">
      <c r="L197" s="74">
        <v>78</v>
      </c>
      <c r="V197" s="74"/>
      <c r="AD197" s="45"/>
    </row>
    <row r="198" spans="12:30" ht="12.75">
      <c r="L198" s="74">
        <v>79</v>
      </c>
      <c r="V198" s="74"/>
      <c r="AD198" s="45"/>
    </row>
    <row r="199" spans="12:30" ht="12.75">
      <c r="L199" s="74">
        <v>80</v>
      </c>
      <c r="V199" s="74"/>
      <c r="AD199" s="45"/>
    </row>
    <row r="200" spans="12:30" ht="12.75">
      <c r="L200" s="74">
        <v>81</v>
      </c>
      <c r="V200" s="74"/>
      <c r="AD200" s="45"/>
    </row>
    <row r="201" spans="12:30" ht="12.75">
      <c r="L201" s="74">
        <v>82</v>
      </c>
      <c r="V201" s="74"/>
      <c r="AD201" s="45"/>
    </row>
    <row r="202" spans="12:30" ht="12.75">
      <c r="L202" s="74">
        <v>83</v>
      </c>
      <c r="V202" s="74"/>
      <c r="AD202" s="45"/>
    </row>
    <row r="203" spans="12:30" ht="12.75">
      <c r="L203" s="74">
        <v>84</v>
      </c>
      <c r="V203" s="74"/>
      <c r="AD203" s="45"/>
    </row>
    <row r="204" spans="12:30" ht="12.75">
      <c r="L204" s="74">
        <v>85</v>
      </c>
      <c r="V204" s="74"/>
      <c r="AD204" s="45"/>
    </row>
    <row r="205" spans="12:30" ht="12.75">
      <c r="L205" s="74">
        <v>86</v>
      </c>
      <c r="V205" s="74"/>
      <c r="AD205" s="45"/>
    </row>
    <row r="206" spans="12:30" ht="12.75">
      <c r="L206" s="74">
        <v>87</v>
      </c>
      <c r="V206" s="74"/>
      <c r="AD206" s="45"/>
    </row>
    <row r="207" spans="12:30" ht="12.75">
      <c r="L207" s="74">
        <v>88</v>
      </c>
      <c r="V207" s="74"/>
      <c r="AD207" s="45"/>
    </row>
    <row r="208" spans="12:30" ht="12.75">
      <c r="L208" s="74">
        <v>89</v>
      </c>
      <c r="V208" s="74"/>
      <c r="AD208" s="45"/>
    </row>
    <row r="209" spans="12:30" ht="12.75">
      <c r="L209" s="74">
        <v>90</v>
      </c>
      <c r="V209" s="74"/>
      <c r="AD209" s="45"/>
    </row>
    <row r="210" spans="12:30" ht="12.75">
      <c r="L210" s="74">
        <v>91</v>
      </c>
      <c r="V210" s="74"/>
      <c r="AD210" s="45"/>
    </row>
    <row r="211" spans="12:30" ht="12.75">
      <c r="L211" s="74">
        <v>92</v>
      </c>
      <c r="V211" s="74"/>
      <c r="AD211" s="45"/>
    </row>
    <row r="212" spans="12:30" ht="12.75">
      <c r="L212" s="74">
        <v>93</v>
      </c>
      <c r="V212" s="74"/>
      <c r="AD212" s="45"/>
    </row>
    <row r="213" spans="12:30" ht="12.75">
      <c r="L213" s="74">
        <v>94</v>
      </c>
      <c r="V213" s="74"/>
      <c r="AD213" s="45"/>
    </row>
    <row r="214" spans="12:30" ht="12.75">
      <c r="L214" s="74">
        <v>95</v>
      </c>
      <c r="V214" s="74"/>
      <c r="AD214" s="45"/>
    </row>
    <row r="215" spans="12:30" ht="12.75">
      <c r="L215" s="74">
        <v>96</v>
      </c>
      <c r="V215" s="74"/>
      <c r="AD215" s="45"/>
    </row>
    <row r="216" spans="12:30" ht="12.75">
      <c r="L216" s="74">
        <v>97</v>
      </c>
      <c r="V216" s="74"/>
      <c r="AD216" s="45"/>
    </row>
    <row r="217" spans="12:30" ht="12.75">
      <c r="L217" s="74">
        <v>98</v>
      </c>
      <c r="V217" s="74"/>
      <c r="AD217" s="45"/>
    </row>
    <row r="218" spans="12:30" ht="12.75">
      <c r="L218" s="74">
        <v>99</v>
      </c>
      <c r="V218" s="74"/>
      <c r="AD218" s="45"/>
    </row>
    <row r="219" spans="12:30" ht="12.75">
      <c r="L219" s="74">
        <v>100</v>
      </c>
      <c r="V219" s="74"/>
      <c r="AD219" s="45"/>
    </row>
    <row r="220" spans="12:30" ht="12.75">
      <c r="L220" s="74">
        <v>101</v>
      </c>
      <c r="V220" s="74"/>
      <c r="AD220" s="45"/>
    </row>
    <row r="221" spans="12:30" ht="12.75">
      <c r="L221" s="74">
        <v>102</v>
      </c>
      <c r="V221" s="74"/>
      <c r="AD221" s="45"/>
    </row>
    <row r="222" spans="12:30" ht="12.75">
      <c r="L222" s="74">
        <v>103</v>
      </c>
      <c r="V222" s="74"/>
      <c r="AD222" s="45"/>
    </row>
    <row r="223" spans="12:30" ht="12.75">
      <c r="L223" s="74">
        <v>104</v>
      </c>
      <c r="V223" s="74"/>
      <c r="AD223" s="45"/>
    </row>
    <row r="224" spans="12:30" ht="12.75">
      <c r="L224" s="74">
        <v>105</v>
      </c>
      <c r="V224" s="74"/>
      <c r="AD224" s="45"/>
    </row>
    <row r="225" spans="12:30" ht="12.75">
      <c r="L225" s="74">
        <v>106</v>
      </c>
      <c r="V225" s="74"/>
      <c r="AD225" s="45"/>
    </row>
    <row r="226" spans="12:30" ht="12.75">
      <c r="L226" s="74">
        <v>107</v>
      </c>
      <c r="V226" s="74"/>
      <c r="AD226" s="45"/>
    </row>
    <row r="227" spans="12:30" ht="12.75">
      <c r="L227" s="74">
        <v>108</v>
      </c>
      <c r="V227" s="74"/>
      <c r="AD227" s="45"/>
    </row>
    <row r="228" spans="12:30" ht="12.75">
      <c r="L228" s="74">
        <v>109</v>
      </c>
      <c r="V228" s="74"/>
      <c r="AD228" s="45"/>
    </row>
    <row r="229" spans="12:30" ht="12.75">
      <c r="L229" s="74">
        <v>110</v>
      </c>
      <c r="V229" s="74"/>
      <c r="AD229" s="45"/>
    </row>
    <row r="230" spans="12:30" ht="12.75">
      <c r="L230" s="74">
        <v>111</v>
      </c>
      <c r="V230" s="74"/>
      <c r="AD230" s="45"/>
    </row>
    <row r="231" spans="12:30" ht="12.75">
      <c r="L231" s="74">
        <v>112</v>
      </c>
      <c r="V231" s="74"/>
      <c r="AD231" s="45"/>
    </row>
    <row r="232" spans="12:30" ht="12.75">
      <c r="L232" s="74">
        <v>113</v>
      </c>
      <c r="V232" s="74"/>
      <c r="AD232" s="45"/>
    </row>
    <row r="233" spans="12:30" ht="12.75">
      <c r="L233" s="74">
        <v>114</v>
      </c>
      <c r="V233" s="74"/>
      <c r="AD233" s="45"/>
    </row>
    <row r="234" spans="12:30" ht="12.75">
      <c r="L234" s="74">
        <v>115</v>
      </c>
      <c r="V234" s="74"/>
      <c r="AD234" s="45"/>
    </row>
    <row r="235" spans="12:30" ht="12.75">
      <c r="L235" s="74">
        <v>116</v>
      </c>
      <c r="V235" s="74"/>
      <c r="AD235" s="45"/>
    </row>
    <row r="236" spans="12:30" ht="12.75">
      <c r="L236" s="74">
        <v>117</v>
      </c>
      <c r="V236" s="74"/>
      <c r="AD236" s="45"/>
    </row>
    <row r="237" spans="7:12" ht="12.75">
      <c r="G237" s="105"/>
      <c r="L237" s="74">
        <v>118</v>
      </c>
    </row>
    <row r="238" ht="12.75">
      <c r="L238" s="74">
        <v>119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49"/>
  <sheetViews>
    <sheetView workbookViewId="0" topLeftCell="G43">
      <selection activeCell="K76" sqref="K76"/>
    </sheetView>
  </sheetViews>
  <sheetFormatPr defaultColWidth="11.421875" defaultRowHeight="12.75"/>
  <cols>
    <col min="2" max="2" width="3.00390625" style="3" bestFit="1" customWidth="1"/>
    <col min="3" max="3" width="27.57421875" style="2" bestFit="1" customWidth="1"/>
    <col min="4" max="4" width="21.7109375" style="0" bestFit="1" customWidth="1"/>
    <col min="5" max="5" width="12.421875" style="0" bestFit="1" customWidth="1"/>
    <col min="6" max="6" width="13.57421875" style="0" bestFit="1" customWidth="1"/>
    <col min="7" max="7" width="18.421875" style="0" customWidth="1"/>
    <col min="10" max="10" width="3.00390625" style="0" bestFit="1" customWidth="1"/>
    <col min="11" max="11" width="27.57421875" style="199" bestFit="1" customWidth="1"/>
    <col min="12" max="12" width="21.7109375" style="0" bestFit="1" customWidth="1"/>
    <col min="13" max="14" width="11.421875" style="2" customWidth="1"/>
    <col min="17" max="17" width="3.8515625" style="0" customWidth="1"/>
    <col min="18" max="18" width="39.140625" style="140" customWidth="1"/>
    <col min="19" max="19" width="16.28125" style="0" bestFit="1" customWidth="1"/>
    <col min="20" max="20" width="11.421875" style="2" customWidth="1"/>
    <col min="22" max="22" width="37.57421875" style="0" bestFit="1" customWidth="1"/>
  </cols>
  <sheetData>
    <row r="1" spans="3:24" ht="12.75">
      <c r="C1" s="2" t="s">
        <v>631</v>
      </c>
      <c r="D1" t="s">
        <v>632</v>
      </c>
      <c r="J1" s="3"/>
      <c r="K1" s="67" t="s">
        <v>631</v>
      </c>
      <c r="L1" s="67" t="s">
        <v>632</v>
      </c>
      <c r="M1" s="67" t="s">
        <v>641</v>
      </c>
      <c r="N1" s="67" t="s">
        <v>642</v>
      </c>
      <c r="R1" s="140" t="s">
        <v>663</v>
      </c>
      <c r="S1" t="s">
        <v>668</v>
      </c>
      <c r="V1" s="188"/>
      <c r="W1" s="189"/>
      <c r="X1" s="190"/>
    </row>
    <row r="2" spans="2:24" ht="15.75">
      <c r="B2" s="67">
        <v>1</v>
      </c>
      <c r="C2" s="42" t="s">
        <v>339</v>
      </c>
      <c r="D2" s="41" t="s">
        <v>234</v>
      </c>
      <c r="J2" s="67">
        <v>1</v>
      </c>
      <c r="K2" s="198" t="s">
        <v>339</v>
      </c>
      <c r="L2" s="197" t="s">
        <v>234</v>
      </c>
      <c r="M2" s="43">
        <f>adresse+force</f>
        <v>7</v>
      </c>
      <c r="N2" s="43"/>
      <c r="R2" s="179" t="s">
        <v>341</v>
      </c>
      <c r="S2" s="139" t="s">
        <v>234</v>
      </c>
      <c r="T2" s="2">
        <f>IF(ISNA(VLOOKUP(R2,co,2,FALSE))=TRUE,0,VLOOKUP(R2,co,2,FALSE))</f>
        <v>0</v>
      </c>
      <c r="U2">
        <f>IF(ISNA(VLOOKUP(A42,co,2,FALSE))=TRUE,0,VLOOKUP(O2,co,2,FALSE))</f>
        <v>0</v>
      </c>
      <c r="V2" s="179"/>
      <c r="W2" s="139"/>
      <c r="X2" s="43"/>
    </row>
    <row r="3" spans="2:24" ht="15.75">
      <c r="B3" s="67">
        <v>2</v>
      </c>
      <c r="C3" s="42" t="s">
        <v>340</v>
      </c>
      <c r="D3" s="41" t="s">
        <v>238</v>
      </c>
      <c r="J3" s="67">
        <v>2</v>
      </c>
      <c r="K3" s="185" t="s">
        <v>340</v>
      </c>
      <c r="L3" s="184" t="s">
        <v>238</v>
      </c>
      <c r="M3" s="43">
        <f>psychisme*2</f>
        <v>8</v>
      </c>
      <c r="N3" s="43"/>
      <c r="R3" s="179" t="s">
        <v>547</v>
      </c>
      <c r="S3" s="139" t="s">
        <v>274</v>
      </c>
      <c r="T3" s="2">
        <f aca="true" t="shared" si="0" ref="T3:T20">IF(ISNA(VLOOKUP(R3,co,2,FALSE))=TRUE,0,VLOOKUP(R3,co,2,FALSE))</f>
        <v>0</v>
      </c>
      <c r="V3" s="179"/>
      <c r="W3" s="139"/>
      <c r="X3" s="43"/>
    </row>
    <row r="4" spans="2:24" ht="15.75">
      <c r="B4" s="67">
        <v>3</v>
      </c>
      <c r="C4" s="42" t="s">
        <v>507</v>
      </c>
      <c r="D4" s="41" t="s">
        <v>238</v>
      </c>
      <c r="J4" s="67">
        <v>3</v>
      </c>
      <c r="K4" s="185" t="s">
        <v>508</v>
      </c>
      <c r="L4" s="184" t="s">
        <v>236</v>
      </c>
      <c r="M4" s="43">
        <f>adresse+psychisme</f>
        <v>7</v>
      </c>
      <c r="N4" s="43"/>
      <c r="R4" s="179" t="s">
        <v>173</v>
      </c>
      <c r="S4" s="139" t="s">
        <v>234</v>
      </c>
      <c r="T4" s="2">
        <f t="shared" si="0"/>
        <v>0</v>
      </c>
      <c r="V4" s="179"/>
      <c r="W4" s="139"/>
      <c r="X4" s="43"/>
    </row>
    <row r="5" spans="2:24" ht="15.75">
      <c r="B5" s="67">
        <v>4</v>
      </c>
      <c r="C5" s="42" t="s">
        <v>341</v>
      </c>
      <c r="D5" s="41" t="s">
        <v>234</v>
      </c>
      <c r="J5" s="67">
        <v>4</v>
      </c>
      <c r="K5" s="185" t="s">
        <v>507</v>
      </c>
      <c r="L5" s="184" t="s">
        <v>238</v>
      </c>
      <c r="M5" s="43">
        <f>psychisme*2</f>
        <v>8</v>
      </c>
      <c r="N5" s="43"/>
      <c r="R5" s="182" t="s">
        <v>665</v>
      </c>
      <c r="S5" s="139" t="s">
        <v>234</v>
      </c>
      <c r="T5" s="2">
        <f t="shared" si="0"/>
        <v>0</v>
      </c>
      <c r="V5" s="187"/>
      <c r="W5" s="139"/>
      <c r="X5" s="43"/>
    </row>
    <row r="6" spans="2:24" ht="15.75">
      <c r="B6" s="67">
        <v>5</v>
      </c>
      <c r="C6" s="42" t="s">
        <v>342</v>
      </c>
      <c r="D6" s="41" t="s">
        <v>238</v>
      </c>
      <c r="J6" s="67">
        <v>5</v>
      </c>
      <c r="K6" s="185" t="s">
        <v>341</v>
      </c>
      <c r="L6" s="186" t="s">
        <v>234</v>
      </c>
      <c r="M6" s="43">
        <f>adresse+force</f>
        <v>7</v>
      </c>
      <c r="N6" s="43"/>
      <c r="R6" s="179" t="s">
        <v>581</v>
      </c>
      <c r="S6" s="139" t="s">
        <v>234</v>
      </c>
      <c r="T6" s="2">
        <f t="shared" si="0"/>
        <v>0</v>
      </c>
      <c r="V6" s="179"/>
      <c r="W6" s="139"/>
      <c r="X6" s="43"/>
    </row>
    <row r="7" spans="2:24" ht="15.75">
      <c r="B7" s="67">
        <v>6</v>
      </c>
      <c r="C7" s="42" t="s">
        <v>343</v>
      </c>
      <c r="D7" s="41" t="s">
        <v>234</v>
      </c>
      <c r="J7" s="67">
        <v>6</v>
      </c>
      <c r="K7" s="185" t="s">
        <v>669</v>
      </c>
      <c r="L7" s="184" t="s">
        <v>238</v>
      </c>
      <c r="M7" s="43">
        <f>psychisme*2</f>
        <v>8</v>
      </c>
      <c r="N7" s="43"/>
      <c r="R7" s="179" t="s">
        <v>536</v>
      </c>
      <c r="S7" s="139" t="s">
        <v>234</v>
      </c>
      <c r="T7" s="2">
        <f t="shared" si="0"/>
        <v>5</v>
      </c>
      <c r="V7" s="179"/>
      <c r="W7" s="139"/>
      <c r="X7" s="43"/>
    </row>
    <row r="8" spans="2:24" ht="15.75">
      <c r="B8" s="67">
        <v>7</v>
      </c>
      <c r="C8" s="42" t="s">
        <v>508</v>
      </c>
      <c r="D8" s="41" t="s">
        <v>236</v>
      </c>
      <c r="J8" s="67">
        <v>7</v>
      </c>
      <c r="K8" s="185" t="s">
        <v>343</v>
      </c>
      <c r="L8" s="184" t="s">
        <v>234</v>
      </c>
      <c r="M8" s="43">
        <f>adresse+force</f>
        <v>7</v>
      </c>
      <c r="N8" s="43"/>
      <c r="R8" s="179" t="s">
        <v>369</v>
      </c>
      <c r="S8" s="139" t="s">
        <v>274</v>
      </c>
      <c r="T8" s="2">
        <f t="shared" si="0"/>
        <v>0</v>
      </c>
      <c r="V8" s="179"/>
      <c r="W8" s="139"/>
      <c r="X8" s="43"/>
    </row>
    <row r="9" spans="2:24" ht="15.75">
      <c r="B9" s="67">
        <v>8</v>
      </c>
      <c r="C9" s="42" t="s">
        <v>350</v>
      </c>
      <c r="D9" s="41" t="s">
        <v>236</v>
      </c>
      <c r="J9" s="67">
        <v>8</v>
      </c>
      <c r="K9" s="185" t="s">
        <v>351</v>
      </c>
      <c r="L9" s="184" t="s">
        <v>238</v>
      </c>
      <c r="M9" s="43">
        <f>psychisme*2</f>
        <v>8</v>
      </c>
      <c r="N9" s="43"/>
      <c r="R9" s="179" t="s">
        <v>371</v>
      </c>
      <c r="S9" s="139" t="s">
        <v>234</v>
      </c>
      <c r="T9" s="2">
        <f t="shared" si="0"/>
        <v>0</v>
      </c>
      <c r="V9" s="179"/>
      <c r="W9" s="139"/>
      <c r="X9" s="43"/>
    </row>
    <row r="10" spans="2:24" ht="15.75">
      <c r="B10" s="67">
        <v>9</v>
      </c>
      <c r="C10" s="42" t="s">
        <v>351</v>
      </c>
      <c r="D10" s="41" t="s">
        <v>238</v>
      </c>
      <c r="J10" s="67">
        <v>9</v>
      </c>
      <c r="K10" s="185" t="s">
        <v>509</v>
      </c>
      <c r="L10" s="184" t="s">
        <v>238</v>
      </c>
      <c r="M10" s="43">
        <f>psychisme*2</f>
        <v>8</v>
      </c>
      <c r="N10" s="43"/>
      <c r="R10" s="182" t="s">
        <v>666</v>
      </c>
      <c r="S10" s="139" t="s">
        <v>234</v>
      </c>
      <c r="T10" s="2">
        <f t="shared" si="0"/>
        <v>0</v>
      </c>
      <c r="V10" s="187"/>
      <c r="W10" s="139"/>
      <c r="X10" s="43"/>
    </row>
    <row r="11" spans="2:24" ht="15.75">
      <c r="B11" s="67">
        <v>10</v>
      </c>
      <c r="C11" s="42" t="s">
        <v>352</v>
      </c>
      <c r="D11" s="41" t="s">
        <v>234</v>
      </c>
      <c r="J11" s="67">
        <v>10</v>
      </c>
      <c r="K11" s="185" t="s">
        <v>227</v>
      </c>
      <c r="L11" s="184" t="s">
        <v>238</v>
      </c>
      <c r="M11" s="43">
        <f>psychisme*2</f>
        <v>8</v>
      </c>
      <c r="N11" s="43"/>
      <c r="R11" s="179" t="s">
        <v>577</v>
      </c>
      <c r="S11" s="139" t="s">
        <v>234</v>
      </c>
      <c r="T11" s="2">
        <f t="shared" si="0"/>
        <v>0</v>
      </c>
      <c r="V11" s="179"/>
      <c r="W11" s="139"/>
      <c r="X11" s="43"/>
    </row>
    <row r="12" spans="2:24" ht="15.75">
      <c r="B12" s="67">
        <v>11</v>
      </c>
      <c r="C12" s="42" t="s">
        <v>509</v>
      </c>
      <c r="D12" s="41" t="s">
        <v>238</v>
      </c>
      <c r="J12" s="67">
        <v>11</v>
      </c>
      <c r="K12" s="185" t="s">
        <v>547</v>
      </c>
      <c r="L12" s="186" t="s">
        <v>274</v>
      </c>
      <c r="M12" s="43">
        <f>adresse+vitesse</f>
        <v>5</v>
      </c>
      <c r="N12" s="43"/>
      <c r="R12" s="179" t="s">
        <v>535</v>
      </c>
      <c r="S12" s="139" t="s">
        <v>234</v>
      </c>
      <c r="T12" s="2">
        <f t="shared" si="0"/>
        <v>0</v>
      </c>
      <c r="V12" s="179"/>
      <c r="W12" s="139"/>
      <c r="X12" s="43"/>
    </row>
    <row r="13" spans="2:24" ht="15.75">
      <c r="B13" s="67">
        <v>12</v>
      </c>
      <c r="C13" s="42" t="s">
        <v>227</v>
      </c>
      <c r="D13" s="41" t="s">
        <v>238</v>
      </c>
      <c r="J13" s="67">
        <v>12</v>
      </c>
      <c r="K13" s="185" t="s">
        <v>353</v>
      </c>
      <c r="L13" s="184" t="s">
        <v>236</v>
      </c>
      <c r="M13" s="43">
        <f>adresse+psychisme</f>
        <v>7</v>
      </c>
      <c r="N13" s="43"/>
      <c r="R13" s="179" t="s">
        <v>532</v>
      </c>
      <c r="S13" s="139" t="s">
        <v>234</v>
      </c>
      <c r="T13" s="2">
        <f t="shared" si="0"/>
        <v>4</v>
      </c>
      <c r="V13" s="179"/>
      <c r="W13" s="139"/>
      <c r="X13" s="43"/>
    </row>
    <row r="14" spans="2:24" ht="16.5" thickBot="1">
      <c r="B14" s="67">
        <v>13</v>
      </c>
      <c r="C14" s="42" t="s">
        <v>353</v>
      </c>
      <c r="D14" s="41" t="s">
        <v>236</v>
      </c>
      <c r="J14" s="67">
        <v>13</v>
      </c>
      <c r="K14" s="185" t="s">
        <v>344</v>
      </c>
      <c r="L14" s="184" t="s">
        <v>238</v>
      </c>
      <c r="M14" s="43">
        <f>psychisme*2</f>
        <v>8</v>
      </c>
      <c r="N14" s="43"/>
      <c r="R14" s="179" t="s">
        <v>374</v>
      </c>
      <c r="S14" s="139" t="s">
        <v>234</v>
      </c>
      <c r="T14" s="2">
        <f t="shared" si="0"/>
        <v>0</v>
      </c>
      <c r="V14" s="179"/>
      <c r="W14" s="139"/>
      <c r="X14" s="43"/>
    </row>
    <row r="15" spans="2:24" ht="17.25" thickBot="1" thickTop="1">
      <c r="B15" s="67">
        <v>14</v>
      </c>
      <c r="C15" s="42" t="s">
        <v>344</v>
      </c>
      <c r="D15" s="41" t="s">
        <v>238</v>
      </c>
      <c r="J15" s="67">
        <v>14</v>
      </c>
      <c r="K15" s="185" t="s">
        <v>354</v>
      </c>
      <c r="L15" s="184" t="s">
        <v>236</v>
      </c>
      <c r="M15" s="43">
        <f>adresse+psychisme</f>
        <v>7</v>
      </c>
      <c r="N15" s="43"/>
      <c r="R15" s="181" t="s">
        <v>377</v>
      </c>
      <c r="S15" s="139" t="s">
        <v>346</v>
      </c>
      <c r="T15" s="2">
        <f t="shared" si="0"/>
        <v>0</v>
      </c>
      <c r="V15" s="179"/>
      <c r="W15" s="139"/>
      <c r="X15" s="43"/>
    </row>
    <row r="16" spans="2:24" ht="17.25" thickBot="1" thickTop="1">
      <c r="B16" s="67">
        <v>15</v>
      </c>
      <c r="C16" s="42" t="s">
        <v>354</v>
      </c>
      <c r="D16" s="41" t="s">
        <v>236</v>
      </c>
      <c r="J16" s="67">
        <v>15</v>
      </c>
      <c r="K16" s="185" t="s">
        <v>355</v>
      </c>
      <c r="L16" s="184" t="s">
        <v>249</v>
      </c>
      <c r="M16" s="43">
        <f>apparence+psychisme</f>
        <v>6</v>
      </c>
      <c r="N16" s="43"/>
      <c r="R16" s="183" t="s">
        <v>667</v>
      </c>
      <c r="S16" s="139" t="s">
        <v>234</v>
      </c>
      <c r="T16" s="2">
        <f t="shared" si="0"/>
        <v>0</v>
      </c>
      <c r="V16" s="187"/>
      <c r="W16" s="139"/>
      <c r="X16" s="43"/>
    </row>
    <row r="17" spans="2:24" ht="17.25" thickBot="1" thickTop="1">
      <c r="B17" s="67">
        <v>16</v>
      </c>
      <c r="C17" s="42" t="s">
        <v>355</v>
      </c>
      <c r="D17" s="41" t="s">
        <v>249</v>
      </c>
      <c r="J17" s="67">
        <v>16</v>
      </c>
      <c r="K17" s="185" t="s">
        <v>279</v>
      </c>
      <c r="L17" s="184" t="s">
        <v>238</v>
      </c>
      <c r="M17" s="43">
        <f>psychisme*2</f>
        <v>8</v>
      </c>
      <c r="N17" s="43"/>
      <c r="R17" s="183" t="s">
        <v>664</v>
      </c>
      <c r="S17" s="139" t="s">
        <v>234</v>
      </c>
      <c r="T17" s="2">
        <f t="shared" si="0"/>
        <v>0</v>
      </c>
      <c r="V17" s="187"/>
      <c r="W17" s="139"/>
      <c r="X17" s="43"/>
    </row>
    <row r="18" spans="2:24" ht="16.5" thickTop="1">
      <c r="B18" s="67">
        <v>17</v>
      </c>
      <c r="C18" s="42" t="s">
        <v>279</v>
      </c>
      <c r="D18" s="41" t="s">
        <v>238</v>
      </c>
      <c r="J18" s="67">
        <v>17</v>
      </c>
      <c r="K18" s="185" t="s">
        <v>356</v>
      </c>
      <c r="L18" s="184" t="s">
        <v>236</v>
      </c>
      <c r="M18" s="43">
        <f>adresse+psychisme</f>
        <v>7</v>
      </c>
      <c r="N18" s="43"/>
      <c r="R18" s="181"/>
      <c r="S18" s="139"/>
      <c r="T18" s="2">
        <f t="shared" si="0"/>
        <v>0</v>
      </c>
      <c r="V18" s="193"/>
      <c r="W18" s="192"/>
      <c r="X18" s="191"/>
    </row>
    <row r="19" spans="2:24" ht="15.75">
      <c r="B19" s="67">
        <v>18</v>
      </c>
      <c r="C19" s="42" t="s">
        <v>356</v>
      </c>
      <c r="D19" s="41" t="s">
        <v>236</v>
      </c>
      <c r="J19" s="67">
        <v>18</v>
      </c>
      <c r="K19" s="185" t="s">
        <v>357</v>
      </c>
      <c r="L19" s="184" t="s">
        <v>258</v>
      </c>
      <c r="M19" s="43">
        <f>endurance+psychisme</f>
        <v>7</v>
      </c>
      <c r="N19" s="43"/>
      <c r="R19" s="180"/>
      <c r="S19" s="49"/>
      <c r="T19" s="2">
        <f t="shared" si="0"/>
        <v>0</v>
      </c>
      <c r="W19" s="49"/>
      <c r="X19" s="49"/>
    </row>
    <row r="20" spans="2:24" ht="15.75">
      <c r="B20" s="67">
        <v>19</v>
      </c>
      <c r="C20" s="42" t="s">
        <v>357</v>
      </c>
      <c r="D20" s="41" t="s">
        <v>258</v>
      </c>
      <c r="J20" s="67">
        <v>19</v>
      </c>
      <c r="K20" s="185" t="s">
        <v>358</v>
      </c>
      <c r="L20" s="184" t="s">
        <v>249</v>
      </c>
      <c r="M20" s="43">
        <f>apparence+psychisme</f>
        <v>6</v>
      </c>
      <c r="N20" s="43"/>
      <c r="R20" s="180"/>
      <c r="S20" s="49"/>
      <c r="T20" s="2">
        <f t="shared" si="0"/>
        <v>0</v>
      </c>
      <c r="W20" s="49"/>
      <c r="X20" s="49"/>
    </row>
    <row r="21" spans="2:24" ht="15.75">
      <c r="B21" s="67">
        <v>20</v>
      </c>
      <c r="C21" s="42" t="s">
        <v>358</v>
      </c>
      <c r="D21" s="41" t="s">
        <v>249</v>
      </c>
      <c r="J21" s="67">
        <v>20</v>
      </c>
      <c r="K21" s="185" t="s">
        <v>173</v>
      </c>
      <c r="L21" s="186" t="s">
        <v>234</v>
      </c>
      <c r="M21" s="43">
        <f>adresse+force</f>
        <v>7</v>
      </c>
      <c r="N21" s="43"/>
      <c r="W21" s="49"/>
      <c r="X21" s="49"/>
    </row>
    <row r="22" spans="2:14" ht="15.75">
      <c r="B22" s="67">
        <v>21</v>
      </c>
      <c r="C22" s="42" t="s">
        <v>173</v>
      </c>
      <c r="D22" s="41" t="s">
        <v>234</v>
      </c>
      <c r="J22" s="67">
        <v>21</v>
      </c>
      <c r="K22" s="185" t="s">
        <v>359</v>
      </c>
      <c r="L22" s="184" t="s">
        <v>236</v>
      </c>
      <c r="M22" s="43">
        <f>adresse+psychisme</f>
        <v>7</v>
      </c>
      <c r="N22" s="43"/>
    </row>
    <row r="23" spans="2:14" ht="15.75">
      <c r="B23" s="67">
        <v>22</v>
      </c>
      <c r="C23" s="42" t="s">
        <v>359</v>
      </c>
      <c r="D23" s="41" t="s">
        <v>236</v>
      </c>
      <c r="J23" s="67">
        <v>22</v>
      </c>
      <c r="K23" s="185" t="s">
        <v>360</v>
      </c>
      <c r="L23" s="184" t="s">
        <v>236</v>
      </c>
      <c r="M23" s="43">
        <f>adresse+psychisme</f>
        <v>7</v>
      </c>
      <c r="N23" s="43"/>
    </row>
    <row r="24" spans="2:14" ht="15.75">
      <c r="B24" s="67">
        <v>23</v>
      </c>
      <c r="C24" s="42" t="s">
        <v>360</v>
      </c>
      <c r="D24" s="41" t="s">
        <v>236</v>
      </c>
      <c r="J24" s="67">
        <v>23</v>
      </c>
      <c r="K24" s="185" t="s">
        <v>361</v>
      </c>
      <c r="L24" s="184" t="s">
        <v>238</v>
      </c>
      <c r="M24" s="43">
        <f>psychisme*2</f>
        <v>8</v>
      </c>
      <c r="N24" s="43"/>
    </row>
    <row r="25" spans="2:14" ht="15.75">
      <c r="B25" s="67">
        <v>24</v>
      </c>
      <c r="C25" s="42" t="s">
        <v>361</v>
      </c>
      <c r="D25" s="41" t="s">
        <v>238</v>
      </c>
      <c r="J25" s="67">
        <v>24</v>
      </c>
      <c r="K25" s="185" t="s">
        <v>362</v>
      </c>
      <c r="L25" s="184" t="s">
        <v>236</v>
      </c>
      <c r="M25" s="43">
        <f>adresse+psychisme</f>
        <v>7</v>
      </c>
      <c r="N25" s="43"/>
    </row>
    <row r="26" spans="2:14" ht="15.75">
      <c r="B26" s="67">
        <v>25</v>
      </c>
      <c r="C26" s="42" t="s">
        <v>362</v>
      </c>
      <c r="D26" s="41" t="s">
        <v>236</v>
      </c>
      <c r="J26" s="67">
        <v>25</v>
      </c>
      <c r="K26" s="185" t="s">
        <v>363</v>
      </c>
      <c r="L26" s="184" t="s">
        <v>274</v>
      </c>
      <c r="M26" s="43">
        <f>adresse+vitesse</f>
        <v>5</v>
      </c>
      <c r="N26" s="43"/>
    </row>
    <row r="27" spans="2:14" ht="15.75">
      <c r="B27" s="67">
        <v>26</v>
      </c>
      <c r="C27" s="42" t="s">
        <v>363</v>
      </c>
      <c r="D27" s="41" t="s">
        <v>274</v>
      </c>
      <c r="J27" s="67">
        <v>26</v>
      </c>
      <c r="K27" s="185" t="s">
        <v>364</v>
      </c>
      <c r="L27" s="184" t="s">
        <v>236</v>
      </c>
      <c r="M27" s="43">
        <f>adresse+psychisme</f>
        <v>7</v>
      </c>
      <c r="N27" s="43"/>
    </row>
    <row r="28" spans="2:14" ht="15.75">
      <c r="B28" s="67">
        <v>27</v>
      </c>
      <c r="C28" s="42" t="s">
        <v>364</v>
      </c>
      <c r="D28" s="41" t="s">
        <v>236</v>
      </c>
      <c r="J28" s="67">
        <v>27</v>
      </c>
      <c r="K28" s="185" t="s">
        <v>365</v>
      </c>
      <c r="L28" s="184" t="s">
        <v>236</v>
      </c>
      <c r="M28" s="43">
        <f>adresse+psychisme</f>
        <v>7</v>
      </c>
      <c r="N28" s="43"/>
    </row>
    <row r="29" spans="2:14" ht="15.75">
      <c r="B29" s="67">
        <v>28</v>
      </c>
      <c r="C29" s="42" t="s">
        <v>365</v>
      </c>
      <c r="D29" s="41" t="s">
        <v>236</v>
      </c>
      <c r="J29" s="67">
        <v>28</v>
      </c>
      <c r="K29" s="185" t="s">
        <v>366</v>
      </c>
      <c r="L29" s="184" t="s">
        <v>345</v>
      </c>
      <c r="M29" s="43">
        <f>psychisme*2</f>
        <v>8</v>
      </c>
      <c r="N29" s="43"/>
    </row>
    <row r="30" spans="2:14" ht="15.75">
      <c r="B30" s="67">
        <v>29</v>
      </c>
      <c r="C30" s="42" t="s">
        <v>366</v>
      </c>
      <c r="D30" s="41" t="s">
        <v>345</v>
      </c>
      <c r="J30" s="67">
        <v>29</v>
      </c>
      <c r="K30" s="185" t="s">
        <v>262</v>
      </c>
      <c r="L30" s="184" t="s">
        <v>249</v>
      </c>
      <c r="M30" s="43">
        <f>apparence+psychisme</f>
        <v>6</v>
      </c>
      <c r="N30" s="43"/>
    </row>
    <row r="31" spans="2:14" ht="15.75">
      <c r="B31" s="67">
        <v>30</v>
      </c>
      <c r="C31" s="42" t="s">
        <v>262</v>
      </c>
      <c r="D31" s="41" t="s">
        <v>249</v>
      </c>
      <c r="J31" s="67">
        <v>30</v>
      </c>
      <c r="K31" s="185" t="s">
        <v>367</v>
      </c>
      <c r="L31" s="184" t="s">
        <v>238</v>
      </c>
      <c r="M31" s="43">
        <f>psychisme*2</f>
        <v>8</v>
      </c>
      <c r="N31" s="43"/>
    </row>
    <row r="32" spans="2:14" ht="15.75">
      <c r="B32" s="67">
        <v>31</v>
      </c>
      <c r="C32" s="42" t="s">
        <v>367</v>
      </c>
      <c r="D32" s="41" t="s">
        <v>238</v>
      </c>
      <c r="J32" s="67">
        <v>31</v>
      </c>
      <c r="K32" s="195" t="s">
        <v>665</v>
      </c>
      <c r="L32" s="186" t="s">
        <v>234</v>
      </c>
      <c r="M32" s="43">
        <f>adresse+force</f>
        <v>7</v>
      </c>
      <c r="N32" s="43"/>
    </row>
    <row r="33" spans="2:14" ht="15.75">
      <c r="B33" s="67">
        <v>32</v>
      </c>
      <c r="C33" s="42" t="s">
        <v>368</v>
      </c>
      <c r="D33" s="41" t="s">
        <v>236</v>
      </c>
      <c r="J33" s="67">
        <v>32</v>
      </c>
      <c r="K33" s="185" t="s">
        <v>581</v>
      </c>
      <c r="L33" s="186" t="s">
        <v>234</v>
      </c>
      <c r="M33" s="43">
        <f>adresse+force</f>
        <v>7</v>
      </c>
      <c r="N33" s="43"/>
    </row>
    <row r="34" spans="2:14" ht="15.75">
      <c r="B34" s="67">
        <v>33</v>
      </c>
      <c r="C34" s="42" t="s">
        <v>369</v>
      </c>
      <c r="D34" s="41" t="s">
        <v>274</v>
      </c>
      <c r="J34" s="67">
        <v>33</v>
      </c>
      <c r="K34" s="185" t="s">
        <v>536</v>
      </c>
      <c r="L34" s="186" t="s">
        <v>234</v>
      </c>
      <c r="M34" s="43">
        <f>adresse+force</f>
        <v>7</v>
      </c>
      <c r="N34" s="43"/>
    </row>
    <row r="35" spans="2:14" ht="15.75">
      <c r="B35" s="67">
        <v>34</v>
      </c>
      <c r="C35" s="42" t="s">
        <v>370</v>
      </c>
      <c r="D35" s="41" t="s">
        <v>238</v>
      </c>
      <c r="J35" s="67">
        <v>34</v>
      </c>
      <c r="K35" s="185" t="s">
        <v>368</v>
      </c>
      <c r="L35" s="184" t="s">
        <v>236</v>
      </c>
      <c r="M35" s="43">
        <f>adresse+psychisme</f>
        <v>7</v>
      </c>
      <c r="N35" s="43"/>
    </row>
    <row r="36" spans="2:14" ht="15.75">
      <c r="B36" s="67">
        <v>35</v>
      </c>
      <c r="C36" s="42" t="s">
        <v>371</v>
      </c>
      <c r="D36" s="41" t="s">
        <v>234</v>
      </c>
      <c r="J36" s="67">
        <v>35</v>
      </c>
      <c r="K36" s="185" t="s">
        <v>369</v>
      </c>
      <c r="L36" s="186" t="s">
        <v>274</v>
      </c>
      <c r="M36" s="43">
        <f>adresse+vitesse</f>
        <v>5</v>
      </c>
      <c r="N36" s="43"/>
    </row>
    <row r="37" spans="2:14" ht="15.75">
      <c r="B37" s="67">
        <v>36</v>
      </c>
      <c r="C37" s="42" t="s">
        <v>372</v>
      </c>
      <c r="D37" s="41" t="s">
        <v>234</v>
      </c>
      <c r="J37" s="67">
        <v>36</v>
      </c>
      <c r="K37" s="185" t="s">
        <v>370</v>
      </c>
      <c r="L37" s="184" t="s">
        <v>238</v>
      </c>
      <c r="M37" s="43">
        <f>psychisme*2</f>
        <v>8</v>
      </c>
      <c r="N37" s="43"/>
    </row>
    <row r="38" spans="2:14" ht="15.75">
      <c r="B38" s="67">
        <v>37</v>
      </c>
      <c r="C38" s="42" t="s">
        <v>373</v>
      </c>
      <c r="D38" s="41" t="s">
        <v>238</v>
      </c>
      <c r="J38" s="67">
        <v>37</v>
      </c>
      <c r="K38" s="185" t="s">
        <v>371</v>
      </c>
      <c r="L38" s="186" t="s">
        <v>234</v>
      </c>
      <c r="M38" s="43">
        <f>adresse+force</f>
        <v>7</v>
      </c>
      <c r="N38" s="43"/>
    </row>
    <row r="39" spans="2:14" ht="15.75">
      <c r="B39" s="67">
        <v>38</v>
      </c>
      <c r="C39" s="42" t="s">
        <v>232</v>
      </c>
      <c r="D39" s="41" t="s">
        <v>238</v>
      </c>
      <c r="J39" s="67">
        <v>38</v>
      </c>
      <c r="K39" s="185" t="s">
        <v>372</v>
      </c>
      <c r="L39" s="184" t="s">
        <v>234</v>
      </c>
      <c r="M39" s="43">
        <f>adresse+force</f>
        <v>7</v>
      </c>
      <c r="N39" s="43"/>
    </row>
    <row r="40" spans="2:14" ht="15.75">
      <c r="B40" s="67">
        <v>39</v>
      </c>
      <c r="C40" s="42" t="s">
        <v>263</v>
      </c>
      <c r="D40" s="41" t="s">
        <v>249</v>
      </c>
      <c r="J40" s="67">
        <v>39</v>
      </c>
      <c r="K40" s="195" t="s">
        <v>666</v>
      </c>
      <c r="L40" s="186" t="s">
        <v>234</v>
      </c>
      <c r="M40" s="43">
        <f>adresse+force</f>
        <v>7</v>
      </c>
      <c r="N40" s="43"/>
    </row>
    <row r="41" spans="2:14" ht="15.75">
      <c r="B41" s="67">
        <v>40</v>
      </c>
      <c r="C41" s="42" t="s">
        <v>374</v>
      </c>
      <c r="D41" s="41" t="s">
        <v>234</v>
      </c>
      <c r="J41" s="67">
        <v>40</v>
      </c>
      <c r="K41" s="185" t="s">
        <v>577</v>
      </c>
      <c r="L41" s="186" t="s">
        <v>234</v>
      </c>
      <c r="M41" s="43">
        <f>adresse+force</f>
        <v>7</v>
      </c>
      <c r="N41" s="43"/>
    </row>
    <row r="42" spans="2:14" ht="15.75">
      <c r="B42" s="67">
        <v>41</v>
      </c>
      <c r="C42" s="42" t="s">
        <v>375</v>
      </c>
      <c r="D42" s="41" t="s">
        <v>238</v>
      </c>
      <c r="J42" s="67">
        <v>41</v>
      </c>
      <c r="K42" s="185" t="s">
        <v>373</v>
      </c>
      <c r="L42" s="184" t="s">
        <v>238</v>
      </c>
      <c r="M42" s="43">
        <f>psychisme*2</f>
        <v>8</v>
      </c>
      <c r="N42" s="43"/>
    </row>
    <row r="43" spans="10:14" ht="12.75">
      <c r="J43" s="67">
        <v>42</v>
      </c>
      <c r="K43" s="185" t="s">
        <v>232</v>
      </c>
      <c r="L43" s="184" t="s">
        <v>238</v>
      </c>
      <c r="M43" s="43">
        <f>psychisme*2</f>
        <v>8</v>
      </c>
      <c r="N43" s="43"/>
    </row>
    <row r="44" spans="2:14" ht="15.75">
      <c r="B44" s="67">
        <v>43</v>
      </c>
      <c r="C44" s="42" t="s">
        <v>331</v>
      </c>
      <c r="D44" s="41" t="s">
        <v>238</v>
      </c>
      <c r="J44" s="67">
        <v>43</v>
      </c>
      <c r="K44" s="185" t="s">
        <v>263</v>
      </c>
      <c r="L44" s="184" t="s">
        <v>249</v>
      </c>
      <c r="M44" s="43">
        <f>apparence+psychisme</f>
        <v>6</v>
      </c>
      <c r="N44" s="43"/>
    </row>
    <row r="45" spans="2:14" ht="15.75">
      <c r="B45" s="67">
        <v>44</v>
      </c>
      <c r="C45" s="42" t="s">
        <v>377</v>
      </c>
      <c r="D45" s="41" t="s">
        <v>346</v>
      </c>
      <c r="J45" s="67">
        <v>44</v>
      </c>
      <c r="K45" s="185" t="s">
        <v>535</v>
      </c>
      <c r="L45" s="186" t="s">
        <v>234</v>
      </c>
      <c r="M45" s="43">
        <f>adresse+force</f>
        <v>7</v>
      </c>
      <c r="N45" s="43"/>
    </row>
    <row r="46" spans="2:14" ht="15.75">
      <c r="B46" s="67">
        <v>45</v>
      </c>
      <c r="C46" s="42" t="s">
        <v>264</v>
      </c>
      <c r="D46" s="41" t="s">
        <v>249</v>
      </c>
      <c r="J46" s="67">
        <v>45</v>
      </c>
      <c r="K46" s="185" t="s">
        <v>532</v>
      </c>
      <c r="L46" s="186" t="s">
        <v>234</v>
      </c>
      <c r="M46" s="43">
        <f>adresse+force</f>
        <v>7</v>
      </c>
      <c r="N46" s="43"/>
    </row>
    <row r="47" spans="2:14" ht="15.75">
      <c r="B47" s="67">
        <v>46</v>
      </c>
      <c r="C47" s="42" t="s">
        <v>378</v>
      </c>
      <c r="D47" s="41" t="s">
        <v>236</v>
      </c>
      <c r="J47" s="67">
        <v>46</v>
      </c>
      <c r="K47" s="185" t="s">
        <v>374</v>
      </c>
      <c r="L47" s="186" t="s">
        <v>234</v>
      </c>
      <c r="M47" s="43">
        <f>adresse+force</f>
        <v>7</v>
      </c>
      <c r="N47" s="43"/>
    </row>
    <row r="48" spans="2:14" ht="15.75">
      <c r="B48" s="67">
        <v>47</v>
      </c>
      <c r="C48" s="42" t="s">
        <v>379</v>
      </c>
      <c r="D48" s="41" t="s">
        <v>236</v>
      </c>
      <c r="J48" s="67">
        <v>47</v>
      </c>
      <c r="K48" s="185" t="s">
        <v>375</v>
      </c>
      <c r="L48" s="184" t="s">
        <v>238</v>
      </c>
      <c r="M48" s="43">
        <f>psychisme*2</f>
        <v>8</v>
      </c>
      <c r="N48" s="43"/>
    </row>
    <row r="49" spans="2:14" ht="15.75">
      <c r="B49" s="67">
        <v>48</v>
      </c>
      <c r="C49" s="42" t="s">
        <v>380</v>
      </c>
      <c r="D49" s="41" t="s">
        <v>301</v>
      </c>
      <c r="J49" s="67">
        <v>48</v>
      </c>
      <c r="K49" s="185" t="s">
        <v>331</v>
      </c>
      <c r="L49" s="184" t="s">
        <v>238</v>
      </c>
      <c r="M49" s="43">
        <f>psychisme*2</f>
        <v>8</v>
      </c>
      <c r="N49" s="43"/>
    </row>
    <row r="50" spans="2:14" ht="15.75">
      <c r="B50" s="67">
        <v>49</v>
      </c>
      <c r="C50" s="42" t="s">
        <v>381</v>
      </c>
      <c r="D50" s="41" t="s">
        <v>236</v>
      </c>
      <c r="J50" s="67">
        <v>49</v>
      </c>
      <c r="K50" s="185" t="s">
        <v>377</v>
      </c>
      <c r="L50" s="186" t="s">
        <v>346</v>
      </c>
      <c r="M50" s="43">
        <f>adresse+force</f>
        <v>7</v>
      </c>
      <c r="N50" s="43"/>
    </row>
    <row r="51" spans="2:14" ht="15.75">
      <c r="B51" s="67">
        <v>50</v>
      </c>
      <c r="C51" s="42" t="s">
        <v>291</v>
      </c>
      <c r="D51" s="41" t="s">
        <v>238</v>
      </c>
      <c r="J51" s="67">
        <v>50</v>
      </c>
      <c r="K51" s="185" t="s">
        <v>264</v>
      </c>
      <c r="L51" s="184" t="s">
        <v>249</v>
      </c>
      <c r="M51" s="43">
        <f>apparence+psychisme</f>
        <v>6</v>
      </c>
      <c r="N51" s="43"/>
    </row>
    <row r="52" spans="2:14" ht="15.75">
      <c r="B52" s="67">
        <v>51</v>
      </c>
      <c r="C52" s="42" t="s">
        <v>347</v>
      </c>
      <c r="D52" s="41" t="s">
        <v>238</v>
      </c>
      <c r="J52" s="67">
        <v>51</v>
      </c>
      <c r="K52" s="195" t="s">
        <v>667</v>
      </c>
      <c r="L52" s="186" t="s">
        <v>234</v>
      </c>
      <c r="M52" s="43">
        <f>adresse+force</f>
        <v>7</v>
      </c>
      <c r="N52" s="43"/>
    </row>
    <row r="53" spans="2:14" ht="15.75">
      <c r="B53" s="67">
        <v>52</v>
      </c>
      <c r="C53" s="42" t="s">
        <v>382</v>
      </c>
      <c r="D53" s="41" t="s">
        <v>274</v>
      </c>
      <c r="J53" s="67">
        <v>52</v>
      </c>
      <c r="K53" s="195" t="s">
        <v>664</v>
      </c>
      <c r="L53" s="186" t="s">
        <v>234</v>
      </c>
      <c r="M53" s="43">
        <f>adresse+force</f>
        <v>7</v>
      </c>
      <c r="N53" s="43"/>
    </row>
    <row r="54" spans="2:14" ht="15.75">
      <c r="B54" s="67">
        <v>53</v>
      </c>
      <c r="C54" s="42" t="s">
        <v>383</v>
      </c>
      <c r="D54" s="41" t="s">
        <v>236</v>
      </c>
      <c r="J54" s="67">
        <v>53</v>
      </c>
      <c r="K54" s="185" t="s">
        <v>378</v>
      </c>
      <c r="L54" s="184" t="s">
        <v>236</v>
      </c>
      <c r="M54" s="43">
        <f>adresse+psychisme</f>
        <v>7</v>
      </c>
      <c r="N54" s="43"/>
    </row>
    <row r="55" spans="2:14" ht="15.75">
      <c r="B55" s="67">
        <v>54</v>
      </c>
      <c r="C55" s="42" t="s">
        <v>348</v>
      </c>
      <c r="D55" s="41" t="s">
        <v>349</v>
      </c>
      <c r="J55" s="67">
        <v>54</v>
      </c>
      <c r="K55" s="185" t="s">
        <v>379</v>
      </c>
      <c r="L55" s="184" t="s">
        <v>236</v>
      </c>
      <c r="M55" s="43">
        <f>adresse+psychisme</f>
        <v>7</v>
      </c>
      <c r="N55" s="43"/>
    </row>
    <row r="56" spans="2:14" ht="15.75">
      <c r="B56" s="67">
        <v>55</v>
      </c>
      <c r="C56" s="42" t="s">
        <v>510</v>
      </c>
      <c r="D56" s="41" t="s">
        <v>349</v>
      </c>
      <c r="J56" s="67">
        <v>55</v>
      </c>
      <c r="K56" s="185" t="s">
        <v>380</v>
      </c>
      <c r="L56" s="184" t="s">
        <v>301</v>
      </c>
      <c r="M56" s="43">
        <f>endurance+force</f>
        <v>7</v>
      </c>
      <c r="N56" s="43"/>
    </row>
    <row r="57" spans="2:14" ht="15.75">
      <c r="B57" s="67">
        <v>56</v>
      </c>
      <c r="C57" s="42" t="s">
        <v>384</v>
      </c>
      <c r="D57" s="41" t="s">
        <v>238</v>
      </c>
      <c r="J57" s="67">
        <v>56</v>
      </c>
      <c r="K57" s="185" t="s">
        <v>381</v>
      </c>
      <c r="L57" s="184" t="s">
        <v>236</v>
      </c>
      <c r="M57" s="43">
        <f>adresse+psychisme</f>
        <v>7</v>
      </c>
      <c r="N57" s="43"/>
    </row>
    <row r="58" spans="2:14" ht="15.75">
      <c r="B58" s="67">
        <v>57</v>
      </c>
      <c r="C58" s="42" t="s">
        <v>385</v>
      </c>
      <c r="D58" s="41" t="s">
        <v>234</v>
      </c>
      <c r="J58" s="67">
        <v>57</v>
      </c>
      <c r="K58" s="185" t="s">
        <v>291</v>
      </c>
      <c r="L58" s="184" t="s">
        <v>238</v>
      </c>
      <c r="M58" s="43">
        <f>psychisme*2</f>
        <v>8</v>
      </c>
      <c r="N58" s="43"/>
    </row>
    <row r="59" spans="2:14" ht="15.75">
      <c r="B59" s="67">
        <v>58</v>
      </c>
      <c r="C59" s="42" t="s">
        <v>386</v>
      </c>
      <c r="D59" s="41" t="s">
        <v>312</v>
      </c>
      <c r="J59" s="67">
        <v>58</v>
      </c>
      <c r="K59" s="185" t="s">
        <v>347</v>
      </c>
      <c r="L59" s="184" t="s">
        <v>238</v>
      </c>
      <c r="M59" s="43">
        <f>psychisme*2</f>
        <v>8</v>
      </c>
      <c r="N59" s="43"/>
    </row>
    <row r="60" spans="2:14" ht="15.75">
      <c r="B60" s="67">
        <v>59</v>
      </c>
      <c r="C60" s="42" t="s">
        <v>387</v>
      </c>
      <c r="D60" s="41" t="s">
        <v>236</v>
      </c>
      <c r="J60" s="67">
        <v>59</v>
      </c>
      <c r="K60" s="185" t="s">
        <v>383</v>
      </c>
      <c r="L60" s="184" t="s">
        <v>236</v>
      </c>
      <c r="M60" s="43">
        <f>adresse+psychisme</f>
        <v>7</v>
      </c>
      <c r="N60" s="43"/>
    </row>
    <row r="61" spans="2:14" ht="15.75">
      <c r="B61" s="67">
        <v>60</v>
      </c>
      <c r="C61" s="42" t="s">
        <v>388</v>
      </c>
      <c r="D61" s="41" t="s">
        <v>238</v>
      </c>
      <c r="J61" s="67">
        <v>60</v>
      </c>
      <c r="K61" s="185" t="s">
        <v>348</v>
      </c>
      <c r="L61" s="184" t="s">
        <v>349</v>
      </c>
      <c r="M61" s="43">
        <f>psychisme*2</f>
        <v>8</v>
      </c>
      <c r="N61" s="43"/>
    </row>
    <row r="62" spans="2:14" ht="15.75">
      <c r="B62" s="67">
        <v>61</v>
      </c>
      <c r="C62" s="42" t="s">
        <v>389</v>
      </c>
      <c r="D62" s="41" t="s">
        <v>236</v>
      </c>
      <c r="J62" s="67">
        <v>61</v>
      </c>
      <c r="K62" s="185" t="s">
        <v>510</v>
      </c>
      <c r="L62" s="184" t="s">
        <v>349</v>
      </c>
      <c r="M62" s="43">
        <f>psychisme*2</f>
        <v>8</v>
      </c>
      <c r="N62" s="43"/>
    </row>
    <row r="63" spans="2:14" ht="15.75">
      <c r="B63" s="67">
        <v>62</v>
      </c>
      <c r="C63" s="42" t="s">
        <v>390</v>
      </c>
      <c r="D63" s="41" t="s">
        <v>238</v>
      </c>
      <c r="J63" s="67">
        <v>62</v>
      </c>
      <c r="K63" s="185" t="s">
        <v>384</v>
      </c>
      <c r="L63" s="184" t="s">
        <v>238</v>
      </c>
      <c r="M63" s="43">
        <f>psychisme*2</f>
        <v>8</v>
      </c>
      <c r="N63" s="43"/>
    </row>
    <row r="64" spans="2:14" ht="15.75">
      <c r="B64" s="67">
        <v>63</v>
      </c>
      <c r="C64" s="42" t="s">
        <v>391</v>
      </c>
      <c r="D64" s="41" t="s">
        <v>236</v>
      </c>
      <c r="J64" s="67">
        <v>63</v>
      </c>
      <c r="K64" s="185" t="s">
        <v>385</v>
      </c>
      <c r="L64" s="184" t="s">
        <v>234</v>
      </c>
      <c r="M64" s="43">
        <f>adresse+force</f>
        <v>7</v>
      </c>
      <c r="N64" s="43"/>
    </row>
    <row r="65" spans="2:14" ht="15.75">
      <c r="B65" s="67">
        <v>64</v>
      </c>
      <c r="C65" s="42" t="s">
        <v>392</v>
      </c>
      <c r="D65" s="41" t="s">
        <v>238</v>
      </c>
      <c r="J65" s="67">
        <v>64</v>
      </c>
      <c r="K65" s="185" t="s">
        <v>386</v>
      </c>
      <c r="L65" s="184" t="s">
        <v>312</v>
      </c>
      <c r="M65" s="43">
        <f>force*2</f>
        <v>8</v>
      </c>
      <c r="N65" s="43"/>
    </row>
    <row r="66" spans="2:14" ht="15.75">
      <c r="B66" s="67">
        <v>65</v>
      </c>
      <c r="C66" s="42" t="s">
        <v>393</v>
      </c>
      <c r="D66" s="41" t="s">
        <v>238</v>
      </c>
      <c r="J66" s="67">
        <v>65</v>
      </c>
      <c r="K66" s="185" t="s">
        <v>387</v>
      </c>
      <c r="L66" s="184" t="s">
        <v>236</v>
      </c>
      <c r="M66" s="43">
        <f>adresse+psychisme</f>
        <v>7</v>
      </c>
      <c r="N66" s="43"/>
    </row>
    <row r="67" spans="2:14" ht="15.75">
      <c r="B67" s="67">
        <v>66</v>
      </c>
      <c r="C67" s="42" t="s">
        <v>394</v>
      </c>
      <c r="D67" s="41" t="s">
        <v>238</v>
      </c>
      <c r="J67" s="67">
        <v>66</v>
      </c>
      <c r="K67" s="185" t="s">
        <v>388</v>
      </c>
      <c r="L67" s="184" t="s">
        <v>238</v>
      </c>
      <c r="M67" s="43">
        <f>psychisme*2</f>
        <v>8</v>
      </c>
      <c r="N67" s="43"/>
    </row>
    <row r="68" spans="2:14" ht="15.75">
      <c r="B68" s="67">
        <v>67</v>
      </c>
      <c r="C68" s="42" t="s">
        <v>395</v>
      </c>
      <c r="D68" s="41" t="s">
        <v>238</v>
      </c>
      <c r="J68" s="67">
        <v>67</v>
      </c>
      <c r="K68" s="185" t="s">
        <v>389</v>
      </c>
      <c r="L68" s="184" t="s">
        <v>236</v>
      </c>
      <c r="M68" s="43">
        <f>adresse+psychisme</f>
        <v>7</v>
      </c>
      <c r="N68" s="43"/>
    </row>
    <row r="69" spans="2:14" ht="15.75">
      <c r="B69" s="67">
        <v>68</v>
      </c>
      <c r="C69" s="42" t="s">
        <v>396</v>
      </c>
      <c r="D69" s="41" t="s">
        <v>238</v>
      </c>
      <c r="J69" s="67">
        <v>68</v>
      </c>
      <c r="K69" s="185" t="s">
        <v>390</v>
      </c>
      <c r="L69" s="184" t="s">
        <v>238</v>
      </c>
      <c r="M69" s="43">
        <f>psychisme*2</f>
        <v>8</v>
      </c>
      <c r="N69" s="43"/>
    </row>
    <row r="70" spans="2:14" ht="15.75">
      <c r="B70" s="67">
        <v>69</v>
      </c>
      <c r="C70" s="42"/>
      <c r="D70" s="41"/>
      <c r="J70" s="67">
        <v>69</v>
      </c>
      <c r="K70" s="185" t="s">
        <v>391</v>
      </c>
      <c r="L70" s="184" t="s">
        <v>236</v>
      </c>
      <c r="M70" s="43">
        <f>adresse+psychisme</f>
        <v>7</v>
      </c>
      <c r="N70" s="43"/>
    </row>
    <row r="71" spans="2:14" ht="15.75">
      <c r="B71" s="67">
        <v>70</v>
      </c>
      <c r="C71" s="42"/>
      <c r="D71" s="41"/>
      <c r="J71" s="67">
        <v>70</v>
      </c>
      <c r="K71" s="185" t="s">
        <v>392</v>
      </c>
      <c r="L71" s="184" t="s">
        <v>238</v>
      </c>
      <c r="M71" s="43">
        <f>psychisme*2</f>
        <v>8</v>
      </c>
      <c r="N71" s="43"/>
    </row>
    <row r="72" spans="10:14" ht="13.5" thickBot="1">
      <c r="J72" s="67">
        <v>71</v>
      </c>
      <c r="K72" s="185" t="s">
        <v>393</v>
      </c>
      <c r="L72" s="184" t="s">
        <v>238</v>
      </c>
      <c r="M72" s="43">
        <f>psychisme*2</f>
        <v>8</v>
      </c>
      <c r="N72" s="43"/>
    </row>
    <row r="73" spans="10:14" ht="14.25" thickBot="1" thickTop="1">
      <c r="J73" s="67">
        <v>72</v>
      </c>
      <c r="K73" s="194" t="s">
        <v>394</v>
      </c>
      <c r="L73" s="184" t="s">
        <v>238</v>
      </c>
      <c r="M73" s="43">
        <f>psychisme*2</f>
        <v>8</v>
      </c>
      <c r="N73" s="43"/>
    </row>
    <row r="74" spans="2:20" s="45" customFormat="1" ht="16.5" thickTop="1">
      <c r="B74" s="3"/>
      <c r="C74" s="14" t="s">
        <v>334</v>
      </c>
      <c r="J74" s="67">
        <v>73</v>
      </c>
      <c r="K74" s="194" t="s">
        <v>395</v>
      </c>
      <c r="L74" s="196" t="s">
        <v>238</v>
      </c>
      <c r="M74" s="43">
        <f>psychisme*2</f>
        <v>8</v>
      </c>
      <c r="N74" s="43"/>
      <c r="R74" s="140"/>
      <c r="T74" s="2"/>
    </row>
    <row r="75" spans="3:14" ht="15.75">
      <c r="C75" s="14"/>
      <c r="D75" s="67" t="s">
        <v>635</v>
      </c>
      <c r="J75" s="67">
        <v>74</v>
      </c>
      <c r="K75" s="185" t="s">
        <v>396</v>
      </c>
      <c r="L75" s="184" t="s">
        <v>238</v>
      </c>
      <c r="M75" s="43">
        <f>psychisme*2</f>
        <v>8</v>
      </c>
      <c r="N75" s="43"/>
    </row>
    <row r="76" spans="2:14" ht="15.75">
      <c r="B76" s="67">
        <v>1</v>
      </c>
      <c r="C76" s="133" t="s">
        <v>652</v>
      </c>
      <c r="D76" s="67">
        <v>0</v>
      </c>
      <c r="J76" s="67">
        <v>75</v>
      </c>
      <c r="K76" s="186"/>
      <c r="L76" s="102"/>
      <c r="M76" s="43"/>
      <c r="N76" s="43"/>
    </row>
    <row r="77" spans="2:14" ht="15.75">
      <c r="B77" s="67">
        <v>2</v>
      </c>
      <c r="C77" s="133" t="s">
        <v>302</v>
      </c>
      <c r="D77" s="67">
        <v>5</v>
      </c>
      <c r="J77" s="67">
        <v>76</v>
      </c>
      <c r="K77" s="186"/>
      <c r="L77" s="102"/>
      <c r="M77" s="43"/>
      <c r="N77" s="43"/>
    </row>
    <row r="78" spans="2:14" ht="15.75">
      <c r="B78" s="67">
        <v>3</v>
      </c>
      <c r="C78" s="133" t="s">
        <v>511</v>
      </c>
      <c r="D78" s="67">
        <v>5</v>
      </c>
      <c r="J78" s="67">
        <v>77</v>
      </c>
      <c r="K78" s="186"/>
      <c r="L78" s="102"/>
      <c r="M78" s="43"/>
      <c r="N78" s="43"/>
    </row>
    <row r="79" spans="2:14" ht="15.75">
      <c r="B79" s="67">
        <v>4</v>
      </c>
      <c r="C79" s="133" t="s">
        <v>240</v>
      </c>
      <c r="D79" s="67">
        <v>5</v>
      </c>
      <c r="J79" s="67">
        <v>78</v>
      </c>
      <c r="K79" s="186"/>
      <c r="L79" s="102"/>
      <c r="M79" s="43"/>
      <c r="N79" s="43"/>
    </row>
    <row r="80" spans="2:14" ht="15.75">
      <c r="B80" s="67">
        <v>5</v>
      </c>
      <c r="C80" s="133" t="s">
        <v>241</v>
      </c>
      <c r="D80" s="67">
        <v>5</v>
      </c>
      <c r="J80" s="67">
        <v>79</v>
      </c>
      <c r="K80" s="186"/>
      <c r="L80" s="49"/>
      <c r="M80" s="43"/>
      <c r="N80" s="43"/>
    </row>
    <row r="81" spans="2:14" ht="15.75">
      <c r="B81" s="67">
        <v>6</v>
      </c>
      <c r="C81" s="133" t="s">
        <v>512</v>
      </c>
      <c r="D81" s="67">
        <v>5</v>
      </c>
      <c r="J81" s="67">
        <v>80</v>
      </c>
      <c r="K81" s="185" t="s">
        <v>504</v>
      </c>
      <c r="L81" s="49">
        <v>0</v>
      </c>
      <c r="M81" s="43">
        <v>0</v>
      </c>
      <c r="N81" s="43"/>
    </row>
    <row r="82" spans="2:4" ht="15.75">
      <c r="B82" s="67">
        <v>7</v>
      </c>
      <c r="C82" s="133" t="s">
        <v>335</v>
      </c>
      <c r="D82" s="67">
        <v>5</v>
      </c>
    </row>
    <row r="83" spans="2:4" ht="15.75">
      <c r="B83" s="67">
        <v>8</v>
      </c>
      <c r="C83" s="133" t="s">
        <v>513</v>
      </c>
      <c r="D83" s="67">
        <v>5</v>
      </c>
    </row>
    <row r="84" spans="2:4" ht="15.75">
      <c r="B84" s="67">
        <v>9</v>
      </c>
      <c r="C84" s="133" t="s">
        <v>229</v>
      </c>
      <c r="D84" s="67">
        <v>5</v>
      </c>
    </row>
    <row r="85" spans="2:4" ht="15.75">
      <c r="B85" s="67">
        <v>10</v>
      </c>
      <c r="C85" s="133" t="s">
        <v>230</v>
      </c>
      <c r="D85" s="67">
        <v>5</v>
      </c>
    </row>
    <row r="86" spans="2:4" ht="15.75">
      <c r="B86" s="67">
        <v>11</v>
      </c>
      <c r="C86" s="133" t="s">
        <v>336</v>
      </c>
      <c r="D86" s="67">
        <v>5</v>
      </c>
    </row>
    <row r="87" spans="2:4" ht="15.75">
      <c r="B87" s="67">
        <v>12</v>
      </c>
      <c r="C87" s="133" t="s">
        <v>337</v>
      </c>
      <c r="D87" s="67">
        <v>5</v>
      </c>
    </row>
    <row r="88" spans="2:4" ht="15.75">
      <c r="B88" s="67">
        <v>13</v>
      </c>
      <c r="C88" s="133" t="s">
        <v>332</v>
      </c>
      <c r="D88" s="67">
        <v>5</v>
      </c>
    </row>
    <row r="89" spans="2:4" ht="15.75">
      <c r="B89" s="67">
        <v>14</v>
      </c>
      <c r="C89" s="133" t="s">
        <v>636</v>
      </c>
      <c r="D89" s="67">
        <v>5</v>
      </c>
    </row>
    <row r="90" spans="2:4" ht="12.75">
      <c r="B90" s="67">
        <v>15</v>
      </c>
      <c r="C90" s="89"/>
      <c r="D90" s="67">
        <v>5</v>
      </c>
    </row>
    <row r="91" spans="2:4" ht="12.75">
      <c r="B91" s="67">
        <v>16</v>
      </c>
      <c r="C91" s="89"/>
      <c r="D91" s="67">
        <v>5</v>
      </c>
    </row>
    <row r="92" spans="2:4" ht="12.75">
      <c r="B92" s="67">
        <v>17</v>
      </c>
      <c r="C92" s="89"/>
      <c r="D92" s="67">
        <v>5</v>
      </c>
    </row>
    <row r="93" spans="2:4" ht="12.75">
      <c r="B93" s="67">
        <v>18</v>
      </c>
      <c r="C93" s="89"/>
      <c r="D93" s="67">
        <v>5</v>
      </c>
    </row>
    <row r="94" spans="2:4" ht="12.75">
      <c r="B94" s="67">
        <v>19</v>
      </c>
      <c r="C94" s="89"/>
      <c r="D94" s="67">
        <v>5</v>
      </c>
    </row>
    <row r="95" spans="2:4" ht="12.75">
      <c r="B95" s="67">
        <v>20</v>
      </c>
      <c r="C95" s="89"/>
      <c r="D95" s="67">
        <v>5</v>
      </c>
    </row>
    <row r="96" ht="12.75">
      <c r="D96" s="67"/>
    </row>
    <row r="98" ht="12.75">
      <c r="C98" s="134" t="s">
        <v>536</v>
      </c>
    </row>
    <row r="99" ht="12.75">
      <c r="C99" s="134" t="s">
        <v>547</v>
      </c>
    </row>
    <row r="100" ht="12.75">
      <c r="C100" s="134" t="s">
        <v>535</v>
      </c>
    </row>
    <row r="101" ht="12.75">
      <c r="C101" s="134" t="s">
        <v>581</v>
      </c>
    </row>
    <row r="102" ht="12.75">
      <c r="C102" s="134" t="s">
        <v>532</v>
      </c>
    </row>
    <row r="103" ht="12.75">
      <c r="C103" s="134" t="s">
        <v>586</v>
      </c>
    </row>
    <row r="104" ht="12.75">
      <c r="C104" s="134" t="s">
        <v>577</v>
      </c>
    </row>
    <row r="105" ht="15.75">
      <c r="C105" s="135" t="s">
        <v>558</v>
      </c>
    </row>
    <row r="106" ht="15.75">
      <c r="C106" s="135" t="s">
        <v>533</v>
      </c>
    </row>
    <row r="107" ht="12.75">
      <c r="C107" s="134" t="s">
        <v>532</v>
      </c>
    </row>
    <row r="109" spans="3:8" ht="12.75">
      <c r="C109" s="67" t="s">
        <v>631</v>
      </c>
      <c r="D109" s="67" t="s">
        <v>632</v>
      </c>
      <c r="E109" s="67" t="s">
        <v>633</v>
      </c>
      <c r="F109" s="67" t="s">
        <v>634</v>
      </c>
      <c r="G109" s="67" t="s">
        <v>637</v>
      </c>
      <c r="H109" s="67"/>
    </row>
    <row r="110" spans="2:8" ht="15.75">
      <c r="B110" s="136"/>
      <c r="C110" s="42" t="s">
        <v>376</v>
      </c>
      <c r="D110" s="41" t="s">
        <v>238</v>
      </c>
      <c r="E110" s="49"/>
      <c r="F110" s="49"/>
      <c r="G110" s="49"/>
      <c r="H110" s="49"/>
    </row>
    <row r="111" spans="2:8" ht="12.75">
      <c r="B111" s="67">
        <v>1</v>
      </c>
      <c r="C111" s="139" t="s">
        <v>558</v>
      </c>
      <c r="D111" s="41" t="s">
        <v>238</v>
      </c>
      <c r="E111" s="49"/>
      <c r="F111" s="49"/>
      <c r="G111" s="49"/>
      <c r="H111" s="49"/>
    </row>
    <row r="112" spans="2:8" ht="12.75">
      <c r="B112" s="67">
        <v>2</v>
      </c>
      <c r="C112" s="139"/>
      <c r="D112" s="41"/>
      <c r="E112" s="49"/>
      <c r="F112" s="49"/>
      <c r="G112" s="49"/>
      <c r="H112" s="49"/>
    </row>
    <row r="113" spans="2:8" ht="12.75">
      <c r="B113" s="67">
        <v>3</v>
      </c>
      <c r="C113" s="139" t="s">
        <v>576</v>
      </c>
      <c r="D113" s="41" t="s">
        <v>238</v>
      </c>
      <c r="E113" s="49">
        <f>Création!E19*2</f>
        <v>8</v>
      </c>
      <c r="F113" s="49"/>
      <c r="G113" s="49"/>
      <c r="H113" s="49"/>
    </row>
    <row r="114" spans="2:8" ht="12.75">
      <c r="B114" s="67">
        <v>4</v>
      </c>
      <c r="C114" s="139" t="s">
        <v>607</v>
      </c>
      <c r="D114" s="41" t="s">
        <v>238</v>
      </c>
      <c r="E114" s="49"/>
      <c r="F114" s="49"/>
      <c r="G114" s="49"/>
      <c r="H114" s="49"/>
    </row>
    <row r="115" spans="2:8" ht="12.75">
      <c r="B115" s="67">
        <v>5</v>
      </c>
      <c r="C115" s="139" t="s">
        <v>560</v>
      </c>
      <c r="D115" s="41" t="s">
        <v>238</v>
      </c>
      <c r="E115" s="49"/>
      <c r="F115" s="49"/>
      <c r="G115" s="49"/>
      <c r="H115" s="49"/>
    </row>
    <row r="116" spans="2:8" ht="12.75">
      <c r="B116" s="67">
        <v>6</v>
      </c>
      <c r="C116" s="139" t="s">
        <v>578</v>
      </c>
      <c r="D116" s="41" t="s">
        <v>238</v>
      </c>
      <c r="E116" s="49"/>
      <c r="F116" s="49"/>
      <c r="G116" s="49"/>
      <c r="H116" s="49"/>
    </row>
    <row r="117" spans="2:8" ht="12.75">
      <c r="B117" s="67">
        <v>7</v>
      </c>
      <c r="C117" s="139" t="s">
        <v>614</v>
      </c>
      <c r="D117" s="41" t="s">
        <v>238</v>
      </c>
      <c r="E117" s="49"/>
      <c r="F117" s="49"/>
      <c r="G117" s="49"/>
      <c r="H117" s="49"/>
    </row>
    <row r="118" spans="2:8" ht="12.75">
      <c r="B118" s="67">
        <v>8</v>
      </c>
      <c r="C118" s="139" t="s">
        <v>594</v>
      </c>
      <c r="D118" s="41" t="s">
        <v>238</v>
      </c>
      <c r="E118" s="49"/>
      <c r="F118" s="49"/>
      <c r="G118" s="49"/>
      <c r="H118" s="49"/>
    </row>
    <row r="119" spans="2:8" ht="12.75">
      <c r="B119" s="67">
        <v>9</v>
      </c>
      <c r="C119" s="139" t="s">
        <v>522</v>
      </c>
      <c r="D119" s="41" t="s">
        <v>238</v>
      </c>
      <c r="E119" s="49"/>
      <c r="F119" s="49"/>
      <c r="G119" s="49"/>
      <c r="H119" s="49"/>
    </row>
    <row r="120" spans="2:8" ht="12.75">
      <c r="B120" s="67">
        <v>10</v>
      </c>
      <c r="C120" s="139" t="s">
        <v>557</v>
      </c>
      <c r="D120" s="41" t="s">
        <v>238</v>
      </c>
      <c r="E120" s="49"/>
      <c r="F120" s="49"/>
      <c r="G120" s="49"/>
      <c r="H120" s="49"/>
    </row>
    <row r="121" spans="2:8" ht="12.75">
      <c r="B121" s="67">
        <v>11</v>
      </c>
      <c r="C121" s="139" t="s">
        <v>601</v>
      </c>
      <c r="D121" s="41" t="s">
        <v>238</v>
      </c>
      <c r="E121" s="49"/>
      <c r="F121" s="49"/>
      <c r="G121" s="49"/>
      <c r="H121" s="49"/>
    </row>
    <row r="122" spans="2:8" ht="12.75">
      <c r="B122" s="67">
        <v>12</v>
      </c>
      <c r="C122" s="43"/>
      <c r="D122" s="49"/>
      <c r="E122" s="49"/>
      <c r="F122" s="49"/>
      <c r="G122" s="49"/>
      <c r="H122" s="49"/>
    </row>
    <row r="124" ht="12.75">
      <c r="E124" t="s">
        <v>643</v>
      </c>
    </row>
    <row r="125" spans="2:3" ht="12.75">
      <c r="B125" s="67">
        <v>1</v>
      </c>
      <c r="C125" s="43" t="str">
        <f>IF(lang&gt;0,Compétences!C113," ")</f>
        <v> </v>
      </c>
    </row>
    <row r="126" spans="2:3" ht="12.75">
      <c r="B126" s="67">
        <v>2</v>
      </c>
      <c r="C126" s="43" t="str">
        <f>IF(lang&gt;0,Compétences!C114," ")</f>
        <v> </v>
      </c>
    </row>
    <row r="127" spans="2:3" ht="12.75">
      <c r="B127" s="67">
        <v>3</v>
      </c>
      <c r="C127" s="43" t="str">
        <f>IF(lang&gt;0,Compétences!C115," ")</f>
        <v> </v>
      </c>
    </row>
    <row r="128" spans="2:3" ht="12.75">
      <c r="B128" s="67">
        <v>4</v>
      </c>
      <c r="C128" s="43" t="str">
        <f>IF(lang&gt;0,Compétences!C116," ")</f>
        <v> </v>
      </c>
    </row>
    <row r="129" spans="2:3" ht="12.75">
      <c r="B129" s="67">
        <v>5</v>
      </c>
      <c r="C129" s="43" t="str">
        <f>IF(lang&gt;0,Compétences!C117," ")</f>
        <v> </v>
      </c>
    </row>
    <row r="130" spans="2:3" ht="12.75">
      <c r="B130" s="67">
        <v>6</v>
      </c>
      <c r="C130" s="43" t="str">
        <f>IF(lang&gt;0,Compétences!C118," ")</f>
        <v> </v>
      </c>
    </row>
    <row r="131" spans="2:3" ht="12.75">
      <c r="B131" s="67">
        <v>7</v>
      </c>
      <c r="C131" s="43" t="str">
        <f>IF(lang&gt;0,Compétences!C119," ")</f>
        <v> </v>
      </c>
    </row>
    <row r="132" spans="2:3" ht="12.75">
      <c r="B132" s="67">
        <v>8</v>
      </c>
      <c r="C132" s="43" t="str">
        <f>IF(lang&gt;0,Compétences!C120," ")</f>
        <v> </v>
      </c>
    </row>
    <row r="133" spans="2:3" ht="12.75">
      <c r="B133" s="67">
        <v>9</v>
      </c>
      <c r="C133" s="43" t="str">
        <f>IF(lang&gt;0,Compétences!C121," ")</f>
        <v> </v>
      </c>
    </row>
    <row r="134" spans="2:3" ht="12.75">
      <c r="B134" s="67">
        <v>10</v>
      </c>
      <c r="C134" s="43" t="str">
        <f>IF(C122=0," ",IF(lang&gt;0,Compétences!C122," "))</f>
        <v> </v>
      </c>
    </row>
    <row r="135" spans="2:3" ht="12.75">
      <c r="B135" s="67"/>
      <c r="C135" s="43"/>
    </row>
    <row r="136" spans="2:3" ht="12.75">
      <c r="B136" s="67"/>
      <c r="C136" s="43"/>
    </row>
    <row r="138" spans="2:7" ht="12.75">
      <c r="B138" s="67"/>
      <c r="C138" s="177" t="s">
        <v>350</v>
      </c>
      <c r="D138" s="177"/>
      <c r="E138" s="49"/>
      <c r="F138" s="49"/>
      <c r="G138" s="49"/>
    </row>
    <row r="139" spans="2:7" ht="12.75">
      <c r="B139" s="67">
        <v>1</v>
      </c>
      <c r="C139" s="43" t="s">
        <v>661</v>
      </c>
      <c r="D139" s="43"/>
      <c r="E139" s="49" t="str">
        <f>IF(art1=0," ",Compétences!C139)</f>
        <v>aucun</v>
      </c>
      <c r="F139" s="49" t="str">
        <f>IF(art2=0," ",Compétences!C139)</f>
        <v> </v>
      </c>
      <c r="G139" s="49"/>
    </row>
    <row r="140" spans="2:7" ht="12.75">
      <c r="B140" s="67">
        <v>2</v>
      </c>
      <c r="C140" s="43" t="s">
        <v>544</v>
      </c>
      <c r="D140" s="43">
        <v>1</v>
      </c>
      <c r="E140" s="49" t="str">
        <f>IF(art1=0," ",Compétences!C140)</f>
        <v>Charpente</v>
      </c>
      <c r="F140" s="178" t="str">
        <f>IF(art2=0," ",Compétences!C140)</f>
        <v> </v>
      </c>
      <c r="G140" s="49"/>
    </row>
    <row r="141" spans="2:7" ht="12.75">
      <c r="B141" s="67">
        <v>3</v>
      </c>
      <c r="C141" s="43" t="s">
        <v>655</v>
      </c>
      <c r="D141" s="43">
        <v>2</v>
      </c>
      <c r="E141" s="49" t="str">
        <f>IF(art1=0," ",Compétences!C141)</f>
        <v>Ebénisterie</v>
      </c>
      <c r="F141" s="178" t="str">
        <f>IF(art2=0," ",Compétences!C141)</f>
        <v> </v>
      </c>
      <c r="G141" s="49"/>
    </row>
    <row r="142" spans="2:7" ht="12.75">
      <c r="B142" s="67">
        <v>4</v>
      </c>
      <c r="C142" s="43" t="s">
        <v>599</v>
      </c>
      <c r="D142" s="43">
        <v>3</v>
      </c>
      <c r="E142" s="49" t="str">
        <f>IF(art1=0," ",Compétences!C142)</f>
        <v>Maçonnerie</v>
      </c>
      <c r="F142" s="178" t="str">
        <f>IF(art2=0," ",Compétences!C142)</f>
        <v> </v>
      </c>
      <c r="G142" s="49"/>
    </row>
    <row r="143" spans="2:7" ht="12.75">
      <c r="B143" s="67">
        <v>5</v>
      </c>
      <c r="C143" s="43" t="s">
        <v>656</v>
      </c>
      <c r="D143" s="43">
        <v>4</v>
      </c>
      <c r="E143" s="49" t="str">
        <f>IF(art1=0," ",Compétences!C143)</f>
        <v>Métallurgie</v>
      </c>
      <c r="F143" s="178" t="str">
        <f>IF(art2=0," ",Compétences!C143)</f>
        <v> </v>
      </c>
      <c r="G143" s="49"/>
    </row>
    <row r="144" spans="2:7" ht="12.75">
      <c r="B144" s="67">
        <v>6</v>
      </c>
      <c r="C144" s="43" t="s">
        <v>657</v>
      </c>
      <c r="D144" s="43">
        <v>5</v>
      </c>
      <c r="E144" s="49" t="str">
        <f>IF(art1=0," ",Compétences!C144)</f>
        <v>Menuiserie</v>
      </c>
      <c r="F144" s="178" t="str">
        <f>IF(art2=0," ",Compétences!C144)</f>
        <v> </v>
      </c>
      <c r="G144" s="49"/>
    </row>
    <row r="145" spans="2:7" ht="12.75">
      <c r="B145" s="67">
        <v>7</v>
      </c>
      <c r="C145" s="43" t="s">
        <v>600</v>
      </c>
      <c r="D145" s="43">
        <v>6</v>
      </c>
      <c r="E145" s="49" t="str">
        <f>IF(art1=0," ",Compétences!C145)</f>
        <v>Poterie</v>
      </c>
      <c r="F145" s="178" t="str">
        <f>IF(art2=0," ",Compétences!C145)</f>
        <v> </v>
      </c>
      <c r="G145" s="49"/>
    </row>
    <row r="146" spans="2:7" ht="12.75">
      <c r="B146" s="67">
        <v>8</v>
      </c>
      <c r="C146" s="43" t="s">
        <v>660</v>
      </c>
      <c r="D146" s="43">
        <v>7</v>
      </c>
      <c r="E146" s="49" t="str">
        <f>IF(art1=0," ",Compétences!C146)</f>
        <v>Joaillerie</v>
      </c>
      <c r="F146" s="178" t="str">
        <f>IF(art2=0," ",Compétences!C146)</f>
        <v> </v>
      </c>
      <c r="G146" s="49"/>
    </row>
    <row r="147" spans="2:7" ht="12.75">
      <c r="B147" s="67">
        <v>9</v>
      </c>
      <c r="C147" s="43" t="s">
        <v>658</v>
      </c>
      <c r="D147" s="43">
        <v>8</v>
      </c>
      <c r="E147" s="49" t="str">
        <f>IF(art1=0," ",Compétences!C147)</f>
        <v>Charpentier de marine</v>
      </c>
      <c r="F147" s="178" t="str">
        <f>IF(art2=0," ",Compétences!C147)</f>
        <v> </v>
      </c>
      <c r="G147" s="49"/>
    </row>
    <row r="148" spans="2:6" ht="12.75">
      <c r="B148" s="67">
        <v>10</v>
      </c>
      <c r="C148" s="43"/>
      <c r="D148" s="64">
        <v>9</v>
      </c>
      <c r="E148" s="49">
        <f>IF(art1=0," ",Compétences!C148)</f>
        <v>0</v>
      </c>
      <c r="F148" s="178" t="str">
        <f>IF(art2=0," ",Compétences!C148)</f>
        <v> </v>
      </c>
    </row>
    <row r="149" spans="4:6" ht="12.75">
      <c r="D149" s="64">
        <v>10</v>
      </c>
      <c r="E149" s="49">
        <f>IF(art1=0," ",Compétences!C149)</f>
        <v>0</v>
      </c>
      <c r="F149" s="178" t="str">
        <f>IF(art2=0," ",Compétences!C149)</f>
        <v> 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196"/>
  <sheetViews>
    <sheetView workbookViewId="0" topLeftCell="A52">
      <selection activeCell="J88" sqref="J88"/>
    </sheetView>
  </sheetViews>
  <sheetFormatPr defaultColWidth="11.421875" defaultRowHeight="12.75"/>
  <cols>
    <col min="3" max="3" width="20.7109375" style="0" customWidth="1"/>
    <col min="4" max="4" width="32.28125" style="0" customWidth="1"/>
    <col min="12" max="12" width="17.57421875" style="0" customWidth="1"/>
    <col min="17" max="17" width="28.28125" style="0" bestFit="1" customWidth="1"/>
    <col min="18" max="18" width="22.00390625" style="0" bestFit="1" customWidth="1"/>
    <col min="24" max="24" width="32.28125" style="0" customWidth="1"/>
    <col min="26" max="26" width="25.28125" style="0" customWidth="1"/>
    <col min="27" max="27" width="21.7109375" style="0" bestFit="1" customWidth="1"/>
    <col min="29" max="29" width="26.8515625" style="0" customWidth="1"/>
    <col min="30" max="30" width="28.421875" style="0" customWidth="1"/>
  </cols>
  <sheetData>
    <row r="1" spans="20:33" ht="18.75" thickBot="1">
      <c r="T1" t="s">
        <v>561</v>
      </c>
      <c r="U1" s="43" t="s">
        <v>562</v>
      </c>
      <c r="V1" s="43" t="s">
        <v>563</v>
      </c>
      <c r="X1" s="37" t="s">
        <v>223</v>
      </c>
      <c r="Y1" s="53"/>
      <c r="Z1" s="53"/>
      <c r="AA1" s="53"/>
      <c r="AB1" s="53"/>
      <c r="AG1" t="s">
        <v>418</v>
      </c>
    </row>
    <row r="2" spans="3:34" ht="17.25" customHeight="1" thickBot="1" thickTop="1">
      <c r="C2" s="22" t="s">
        <v>123</v>
      </c>
      <c r="D2" s="22" t="s">
        <v>124</v>
      </c>
      <c r="E2" s="23" t="s">
        <v>125</v>
      </c>
      <c r="F2" s="22" t="s">
        <v>4</v>
      </c>
      <c r="G2" s="23" t="s">
        <v>126</v>
      </c>
      <c r="H2" s="22" t="s">
        <v>127</v>
      </c>
      <c r="I2" s="18" t="s">
        <v>128</v>
      </c>
      <c r="L2" s="51" t="s">
        <v>72</v>
      </c>
      <c r="M2" s="16" t="s">
        <v>73</v>
      </c>
      <c r="N2" s="17"/>
      <c r="O2" s="18"/>
      <c r="P2">
        <v>1</v>
      </c>
      <c r="Q2" s="5" t="s">
        <v>501</v>
      </c>
      <c r="R2" s="323" t="s">
        <v>494</v>
      </c>
      <c r="T2" s="89">
        <v>1</v>
      </c>
      <c r="U2" s="90" t="s">
        <v>568</v>
      </c>
      <c r="V2" s="90" t="s">
        <v>573</v>
      </c>
      <c r="X2" s="13"/>
      <c r="Y2" s="92"/>
      <c r="Z2" s="92"/>
      <c r="AA2" s="92"/>
      <c r="AB2" s="92"/>
      <c r="AC2" s="319" t="s">
        <v>23</v>
      </c>
      <c r="AD2" s="320"/>
      <c r="AG2" s="49" t="s">
        <v>419</v>
      </c>
      <c r="AH2" s="49" t="s">
        <v>420</v>
      </c>
    </row>
    <row r="3" spans="2:34" ht="17.25" customHeight="1" thickBot="1" thickTop="1">
      <c r="B3" s="49">
        <v>1</v>
      </c>
      <c r="C3" s="283" t="s">
        <v>129</v>
      </c>
      <c r="D3" s="283" t="s">
        <v>684</v>
      </c>
      <c r="E3" s="283">
        <v>0</v>
      </c>
      <c r="F3" s="283">
        <v>3</v>
      </c>
      <c r="G3" s="283" t="s">
        <v>130</v>
      </c>
      <c r="H3" s="283">
        <v>14</v>
      </c>
      <c r="I3" s="284">
        <v>1.5</v>
      </c>
      <c r="L3" s="44">
        <v>1</v>
      </c>
      <c r="M3" s="52" t="s">
        <v>488</v>
      </c>
      <c r="P3">
        <v>2</v>
      </c>
      <c r="Q3" s="5" t="s">
        <v>27</v>
      </c>
      <c r="R3" s="323"/>
      <c r="T3" s="89">
        <v>2</v>
      </c>
      <c r="U3" s="90" t="s">
        <v>568</v>
      </c>
      <c r="V3" s="90" t="s">
        <v>573</v>
      </c>
      <c r="X3" s="1" t="s">
        <v>224</v>
      </c>
      <c r="Y3" s="93"/>
      <c r="Z3" s="40" t="s">
        <v>339</v>
      </c>
      <c r="AA3" s="41" t="s">
        <v>234</v>
      </c>
      <c r="AB3" s="97"/>
      <c r="AC3" s="4" t="s">
        <v>24</v>
      </c>
      <c r="AD3" s="5" t="s">
        <v>25</v>
      </c>
      <c r="AF3" s="43">
        <v>1</v>
      </c>
      <c r="AG3" s="49" t="s">
        <v>421</v>
      </c>
      <c r="AH3" s="49" t="s">
        <v>422</v>
      </c>
    </row>
    <row r="4" spans="2:34" ht="17.25" customHeight="1" thickBot="1">
      <c r="B4" s="49">
        <v>2</v>
      </c>
      <c r="C4" s="283"/>
      <c r="D4" s="283" t="s">
        <v>685</v>
      </c>
      <c r="E4" s="283">
        <v>0</v>
      </c>
      <c r="F4" s="283">
        <v>4</v>
      </c>
      <c r="G4" s="283" t="s">
        <v>131</v>
      </c>
      <c r="H4" s="283">
        <v>16</v>
      </c>
      <c r="I4" s="284">
        <v>2</v>
      </c>
      <c r="L4" s="44">
        <v>2</v>
      </c>
      <c r="M4" s="19" t="s">
        <v>75</v>
      </c>
      <c r="P4">
        <v>3</v>
      </c>
      <c r="Q4" s="5" t="s">
        <v>29</v>
      </c>
      <c r="R4" s="323"/>
      <c r="T4" s="89">
        <v>3</v>
      </c>
      <c r="U4" s="90" t="s">
        <v>568</v>
      </c>
      <c r="V4" s="90" t="s">
        <v>573</v>
      </c>
      <c r="X4" s="25" t="s">
        <v>225</v>
      </c>
      <c r="Y4" s="93"/>
      <c r="Z4" s="40" t="s">
        <v>340</v>
      </c>
      <c r="AA4" s="41" t="s">
        <v>238</v>
      </c>
      <c r="AB4" s="97"/>
      <c r="AC4" s="4" t="s">
        <v>26</v>
      </c>
      <c r="AD4" s="5" t="s">
        <v>27</v>
      </c>
      <c r="AF4" s="43">
        <v>2</v>
      </c>
      <c r="AG4" s="49" t="s">
        <v>458</v>
      </c>
      <c r="AH4" s="49" t="s">
        <v>423</v>
      </c>
    </row>
    <row r="5" spans="2:34" ht="17.25" customHeight="1" thickBot="1">
      <c r="B5" s="49">
        <v>3</v>
      </c>
      <c r="C5" s="283"/>
      <c r="D5" s="283" t="s">
        <v>686</v>
      </c>
      <c r="E5" s="283">
        <v>0</v>
      </c>
      <c r="F5" s="283">
        <v>5</v>
      </c>
      <c r="G5" s="283" t="s">
        <v>131</v>
      </c>
      <c r="H5" s="283">
        <v>18</v>
      </c>
      <c r="I5" s="284">
        <v>3.5</v>
      </c>
      <c r="L5" s="44">
        <v>3</v>
      </c>
      <c r="M5" s="19" t="s">
        <v>77</v>
      </c>
      <c r="P5">
        <v>4</v>
      </c>
      <c r="Q5" s="7" t="s">
        <v>500</v>
      </c>
      <c r="R5" s="323"/>
      <c r="T5" s="89">
        <v>4</v>
      </c>
      <c r="U5" s="90" t="s">
        <v>569</v>
      </c>
      <c r="V5" s="90" t="s">
        <v>568</v>
      </c>
      <c r="X5" s="1" t="s">
        <v>226</v>
      </c>
      <c r="Y5" s="93"/>
      <c r="Z5" s="40" t="s">
        <v>341</v>
      </c>
      <c r="AA5" s="41" t="s">
        <v>234</v>
      </c>
      <c r="AB5" s="97"/>
      <c r="AC5" s="4" t="s">
        <v>28</v>
      </c>
      <c r="AD5" s="5" t="s">
        <v>29</v>
      </c>
      <c r="AF5" s="43">
        <v>3</v>
      </c>
      <c r="AG5" s="49" t="s">
        <v>459</v>
      </c>
      <c r="AH5" s="49" t="s">
        <v>424</v>
      </c>
    </row>
    <row r="6" spans="2:34" ht="17.25" customHeight="1" thickBot="1">
      <c r="B6" s="49">
        <v>4</v>
      </c>
      <c r="C6" s="283"/>
      <c r="D6" s="283" t="s">
        <v>687</v>
      </c>
      <c r="E6" s="283">
        <v>0</v>
      </c>
      <c r="F6" s="283">
        <v>6</v>
      </c>
      <c r="G6" s="283" t="s">
        <v>132</v>
      </c>
      <c r="H6" s="283">
        <v>20</v>
      </c>
      <c r="I6" s="284">
        <v>4</v>
      </c>
      <c r="L6" s="44">
        <v>4</v>
      </c>
      <c r="M6" s="19" t="s">
        <v>79</v>
      </c>
      <c r="P6">
        <v>5</v>
      </c>
      <c r="Q6" s="5" t="s">
        <v>493</v>
      </c>
      <c r="R6" s="323" t="s">
        <v>495</v>
      </c>
      <c r="T6" s="89">
        <v>5</v>
      </c>
      <c r="U6" s="90" t="s">
        <v>569</v>
      </c>
      <c r="V6" s="90" t="s">
        <v>568</v>
      </c>
      <c r="X6" s="25" t="s">
        <v>227</v>
      </c>
      <c r="Y6" s="93"/>
      <c r="Z6" s="40" t="s">
        <v>342</v>
      </c>
      <c r="AA6" s="41" t="s">
        <v>238</v>
      </c>
      <c r="AB6" s="97"/>
      <c r="AC6" s="6" t="s">
        <v>30</v>
      </c>
      <c r="AD6" s="7" t="s">
        <v>31</v>
      </c>
      <c r="AF6" s="43">
        <v>4</v>
      </c>
      <c r="AG6" s="49" t="s">
        <v>460</v>
      </c>
      <c r="AH6" s="49" t="s">
        <v>425</v>
      </c>
    </row>
    <row r="7" spans="2:34" ht="17.25" customHeight="1" thickBot="1">
      <c r="B7" s="49">
        <v>1</v>
      </c>
      <c r="C7" s="283" t="s">
        <v>133</v>
      </c>
      <c r="D7" s="283" t="s">
        <v>134</v>
      </c>
      <c r="E7" s="283">
        <v>0</v>
      </c>
      <c r="F7" s="283">
        <v>2</v>
      </c>
      <c r="G7" s="283" t="s">
        <v>131</v>
      </c>
      <c r="H7" s="283">
        <v>6</v>
      </c>
      <c r="I7" s="284">
        <v>0.2</v>
      </c>
      <c r="L7" s="44">
        <v>5</v>
      </c>
      <c r="M7" s="19" t="s">
        <v>81</v>
      </c>
      <c r="P7">
        <v>6</v>
      </c>
      <c r="Q7" s="5" t="s">
        <v>36</v>
      </c>
      <c r="R7" s="323"/>
      <c r="T7" s="89">
        <v>6</v>
      </c>
      <c r="U7" s="90" t="s">
        <v>569</v>
      </c>
      <c r="V7" s="90" t="s">
        <v>568</v>
      </c>
      <c r="X7" s="1" t="s">
        <v>228</v>
      </c>
      <c r="Y7" s="93"/>
      <c r="Z7" s="40" t="s">
        <v>343</v>
      </c>
      <c r="AA7" s="41" t="s">
        <v>234</v>
      </c>
      <c r="AB7" s="97"/>
      <c r="AF7" s="43">
        <v>5</v>
      </c>
      <c r="AG7" s="49" t="s">
        <v>461</v>
      </c>
      <c r="AH7" s="49" t="s">
        <v>426</v>
      </c>
    </row>
    <row r="8" spans="2:34" ht="17.25" customHeight="1" thickBot="1">
      <c r="B8" s="49">
        <v>2</v>
      </c>
      <c r="C8" s="283"/>
      <c r="D8" s="283" t="s">
        <v>135</v>
      </c>
      <c r="E8" s="283">
        <v>0</v>
      </c>
      <c r="F8" s="283">
        <v>3</v>
      </c>
      <c r="G8" s="283" t="s">
        <v>132</v>
      </c>
      <c r="H8" s="283">
        <v>8</v>
      </c>
      <c r="I8" s="284">
        <v>0.5</v>
      </c>
      <c r="L8" s="44">
        <v>6</v>
      </c>
      <c r="M8" s="19" t="s">
        <v>83</v>
      </c>
      <c r="P8">
        <v>7</v>
      </c>
      <c r="Q8" s="5" t="s">
        <v>38</v>
      </c>
      <c r="R8" s="323"/>
      <c r="T8" s="89">
        <v>7</v>
      </c>
      <c r="U8" s="90" t="s">
        <v>411</v>
      </c>
      <c r="V8" s="90" t="s">
        <v>569</v>
      </c>
      <c r="X8" s="25" t="s">
        <v>229</v>
      </c>
      <c r="Y8" s="93"/>
      <c r="Z8" s="40" t="s">
        <v>350</v>
      </c>
      <c r="AA8" s="41" t="s">
        <v>236</v>
      </c>
      <c r="AB8" s="97"/>
      <c r="AF8" s="43">
        <v>6</v>
      </c>
      <c r="AG8" s="49" t="s">
        <v>462</v>
      </c>
      <c r="AH8" s="49" t="s">
        <v>427</v>
      </c>
    </row>
    <row r="9" spans="2:34" ht="17.25" customHeight="1" thickBot="1" thickTop="1">
      <c r="B9" s="49">
        <v>3</v>
      </c>
      <c r="C9" s="283"/>
      <c r="D9" s="283" t="s">
        <v>136</v>
      </c>
      <c r="E9" s="283">
        <v>1</v>
      </c>
      <c r="F9" s="283">
        <v>4</v>
      </c>
      <c r="G9" s="283" t="s">
        <v>137</v>
      </c>
      <c r="H9" s="283">
        <v>12</v>
      </c>
      <c r="I9" s="284">
        <v>1</v>
      </c>
      <c r="L9" s="44">
        <v>7</v>
      </c>
      <c r="M9" s="19" t="s">
        <v>85</v>
      </c>
      <c r="P9">
        <v>8</v>
      </c>
      <c r="Q9" s="5" t="s">
        <v>40</v>
      </c>
      <c r="R9" s="323"/>
      <c r="T9" s="89">
        <v>8</v>
      </c>
      <c r="U9" s="90" t="s">
        <v>411</v>
      </c>
      <c r="V9" s="90" t="s">
        <v>569</v>
      </c>
      <c r="X9" s="25" t="s">
        <v>230</v>
      </c>
      <c r="Y9" s="93"/>
      <c r="Z9" s="40" t="s">
        <v>351</v>
      </c>
      <c r="AA9" s="41" t="s">
        <v>238</v>
      </c>
      <c r="AB9" s="97"/>
      <c r="AC9" s="319" t="s">
        <v>32</v>
      </c>
      <c r="AD9" s="320"/>
      <c r="AF9" s="43">
        <v>7</v>
      </c>
      <c r="AG9" s="49" t="s">
        <v>463</v>
      </c>
      <c r="AH9" s="49" t="s">
        <v>428</v>
      </c>
    </row>
    <row r="10" spans="2:34" ht="17.25" customHeight="1" thickBot="1">
      <c r="B10" s="49">
        <v>4</v>
      </c>
      <c r="C10" s="283"/>
      <c r="D10" s="283" t="s">
        <v>138</v>
      </c>
      <c r="E10" s="283">
        <v>1</v>
      </c>
      <c r="F10" s="283">
        <v>4</v>
      </c>
      <c r="G10" s="283" t="s">
        <v>139</v>
      </c>
      <c r="H10" s="283">
        <v>10</v>
      </c>
      <c r="I10" s="284">
        <v>1</v>
      </c>
      <c r="L10" s="44">
        <v>8</v>
      </c>
      <c r="M10" s="19" t="s">
        <v>87</v>
      </c>
      <c r="P10">
        <v>9</v>
      </c>
      <c r="Q10" s="7" t="s">
        <v>42</v>
      </c>
      <c r="R10" s="323"/>
      <c r="T10" s="89">
        <v>9</v>
      </c>
      <c r="U10" s="90" t="s">
        <v>411</v>
      </c>
      <c r="V10" s="90" t="s">
        <v>569</v>
      </c>
      <c r="X10" s="1" t="s">
        <v>231</v>
      </c>
      <c r="Y10" s="93"/>
      <c r="Z10" s="40" t="s">
        <v>352</v>
      </c>
      <c r="AA10" s="41" t="s">
        <v>234</v>
      </c>
      <c r="AB10" s="97"/>
      <c r="AC10" s="4" t="s">
        <v>33</v>
      </c>
      <c r="AD10" s="5" t="s">
        <v>34</v>
      </c>
      <c r="AF10" s="43">
        <v>8</v>
      </c>
      <c r="AG10" s="49" t="s">
        <v>464</v>
      </c>
      <c r="AH10" s="49" t="s">
        <v>429</v>
      </c>
    </row>
    <row r="11" spans="2:34" ht="17.25" customHeight="1" thickBot="1">
      <c r="B11" s="49">
        <v>5</v>
      </c>
      <c r="C11" s="283" t="s">
        <v>140</v>
      </c>
      <c r="D11" s="283" t="s">
        <v>141</v>
      </c>
      <c r="E11" s="283">
        <v>2</v>
      </c>
      <c r="F11" s="283">
        <v>5</v>
      </c>
      <c r="G11" s="283" t="s">
        <v>142</v>
      </c>
      <c r="H11" s="283">
        <v>14</v>
      </c>
      <c r="I11" s="284">
        <v>1.5</v>
      </c>
      <c r="L11" s="44">
        <v>9</v>
      </c>
      <c r="M11" s="19" t="s">
        <v>89</v>
      </c>
      <c r="P11">
        <v>10</v>
      </c>
      <c r="Q11" s="5" t="s">
        <v>44</v>
      </c>
      <c r="R11" s="323" t="s">
        <v>496</v>
      </c>
      <c r="T11" s="89">
        <v>10</v>
      </c>
      <c r="U11" s="90" t="s">
        <v>564</v>
      </c>
      <c r="V11" s="90" t="s">
        <v>411</v>
      </c>
      <c r="X11" s="25" t="s">
        <v>232</v>
      </c>
      <c r="Y11" s="53"/>
      <c r="Z11" s="40" t="s">
        <v>353</v>
      </c>
      <c r="AA11" s="41" t="s">
        <v>236</v>
      </c>
      <c r="AB11" s="97"/>
      <c r="AC11" s="4" t="s">
        <v>35</v>
      </c>
      <c r="AD11" s="5" t="s">
        <v>36</v>
      </c>
      <c r="AF11" s="43">
        <v>9</v>
      </c>
      <c r="AG11" s="49" t="s">
        <v>430</v>
      </c>
      <c r="AH11" s="49" t="s">
        <v>431</v>
      </c>
    </row>
    <row r="12" spans="2:34" ht="17.25" customHeight="1" thickBot="1">
      <c r="B12" s="49">
        <v>6</v>
      </c>
      <c r="C12" s="283"/>
      <c r="D12" s="283" t="s">
        <v>143</v>
      </c>
      <c r="E12" s="283">
        <v>2</v>
      </c>
      <c r="F12" s="283">
        <v>6</v>
      </c>
      <c r="G12" s="283" t="s">
        <v>144</v>
      </c>
      <c r="H12" s="283">
        <v>16</v>
      </c>
      <c r="I12" s="284">
        <v>2</v>
      </c>
      <c r="L12" s="44">
        <v>10</v>
      </c>
      <c r="M12" s="19" t="s">
        <v>91</v>
      </c>
      <c r="P12">
        <v>11</v>
      </c>
      <c r="Q12" s="5" t="s">
        <v>45</v>
      </c>
      <c r="R12" s="323"/>
      <c r="T12" s="89">
        <v>11</v>
      </c>
      <c r="U12" s="90" t="s">
        <v>564</v>
      </c>
      <c r="V12" s="90" t="s">
        <v>411</v>
      </c>
      <c r="X12" s="1" t="s">
        <v>233</v>
      </c>
      <c r="Y12" s="53"/>
      <c r="Z12" s="40" t="s">
        <v>344</v>
      </c>
      <c r="AA12" s="41" t="s">
        <v>238</v>
      </c>
      <c r="AB12" s="97"/>
      <c r="AC12" s="4" t="s">
        <v>37</v>
      </c>
      <c r="AD12" s="5" t="s">
        <v>38</v>
      </c>
      <c r="AF12" s="43">
        <v>10</v>
      </c>
      <c r="AG12" s="49" t="s">
        <v>432</v>
      </c>
      <c r="AH12" s="49" t="s">
        <v>433</v>
      </c>
    </row>
    <row r="13" spans="2:34" ht="17.25" customHeight="1" thickBot="1">
      <c r="B13" s="49">
        <v>7</v>
      </c>
      <c r="C13" s="283"/>
      <c r="D13" s="283" t="s">
        <v>145</v>
      </c>
      <c r="E13" s="283">
        <v>2</v>
      </c>
      <c r="F13" s="283">
        <v>14</v>
      </c>
      <c r="G13" s="283" t="s">
        <v>146</v>
      </c>
      <c r="H13" s="283">
        <v>16</v>
      </c>
      <c r="I13" s="284">
        <v>3</v>
      </c>
      <c r="L13" s="44">
        <v>11</v>
      </c>
      <c r="M13" s="19" t="s">
        <v>93</v>
      </c>
      <c r="P13">
        <v>12</v>
      </c>
      <c r="Q13" s="5" t="s">
        <v>47</v>
      </c>
      <c r="R13" s="323"/>
      <c r="T13" s="89">
        <v>12</v>
      </c>
      <c r="U13" s="90" t="s">
        <v>564</v>
      </c>
      <c r="V13" s="90" t="s">
        <v>411</v>
      </c>
      <c r="X13" s="25" t="s">
        <v>234</v>
      </c>
      <c r="Y13" s="53"/>
      <c r="Z13" s="40" t="s">
        <v>354</v>
      </c>
      <c r="AA13" s="41" t="s">
        <v>236</v>
      </c>
      <c r="AB13" s="97"/>
      <c r="AC13" s="4" t="s">
        <v>39</v>
      </c>
      <c r="AD13" s="5" t="s">
        <v>40</v>
      </c>
      <c r="AF13" s="43">
        <v>11</v>
      </c>
      <c r="AG13" s="49" t="s">
        <v>434</v>
      </c>
      <c r="AH13" s="49" t="s">
        <v>435</v>
      </c>
    </row>
    <row r="14" spans="2:34" ht="17.25" customHeight="1" thickBot="1">
      <c r="B14" s="49">
        <v>8</v>
      </c>
      <c r="C14" s="283" t="s">
        <v>147</v>
      </c>
      <c r="D14" s="283" t="s">
        <v>688</v>
      </c>
      <c r="E14" s="283">
        <v>2</v>
      </c>
      <c r="F14" s="283">
        <v>3</v>
      </c>
      <c r="G14" s="283" t="s">
        <v>144</v>
      </c>
      <c r="H14" s="283">
        <v>16</v>
      </c>
      <c r="I14" s="284">
        <v>2</v>
      </c>
      <c r="L14" s="44">
        <v>12</v>
      </c>
      <c r="M14" s="19" t="s">
        <v>95</v>
      </c>
      <c r="P14">
        <v>13</v>
      </c>
      <c r="Q14" s="7" t="s">
        <v>49</v>
      </c>
      <c r="R14" s="323"/>
      <c r="T14" s="89">
        <v>13</v>
      </c>
      <c r="U14" s="90" t="s">
        <v>565</v>
      </c>
      <c r="V14" s="90" t="s">
        <v>564</v>
      </c>
      <c r="X14" s="25" t="s">
        <v>229</v>
      </c>
      <c r="Y14" s="53"/>
      <c r="Z14" s="40" t="s">
        <v>355</v>
      </c>
      <c r="AA14" s="41" t="s">
        <v>249</v>
      </c>
      <c r="AB14" s="97"/>
      <c r="AC14" s="6" t="s">
        <v>41</v>
      </c>
      <c r="AD14" s="7" t="s">
        <v>42</v>
      </c>
      <c r="AF14" s="43">
        <v>12</v>
      </c>
      <c r="AG14" s="49" t="s">
        <v>436</v>
      </c>
      <c r="AH14" s="49" t="s">
        <v>437</v>
      </c>
    </row>
    <row r="15" spans="2:34" ht="17.25" customHeight="1" thickBot="1">
      <c r="B15" s="49">
        <v>9</v>
      </c>
      <c r="C15" s="283"/>
      <c r="D15" s="283" t="s">
        <v>689</v>
      </c>
      <c r="E15" s="283">
        <v>2</v>
      </c>
      <c r="F15" s="283">
        <v>7</v>
      </c>
      <c r="G15" s="283" t="s">
        <v>146</v>
      </c>
      <c r="H15" s="283">
        <v>16</v>
      </c>
      <c r="I15" s="284">
        <v>3</v>
      </c>
      <c r="L15" s="44">
        <v>13</v>
      </c>
      <c r="M15" s="19" t="s">
        <v>97</v>
      </c>
      <c r="P15">
        <v>14</v>
      </c>
      <c r="Q15" s="5" t="s">
        <v>51</v>
      </c>
      <c r="R15" s="323" t="s">
        <v>497</v>
      </c>
      <c r="T15" s="89">
        <v>14</v>
      </c>
      <c r="U15" s="90" t="s">
        <v>565</v>
      </c>
      <c r="V15" s="90" t="s">
        <v>564</v>
      </c>
      <c r="X15" s="25" t="s">
        <v>230</v>
      </c>
      <c r="Y15" s="53"/>
      <c r="Z15" s="40" t="s">
        <v>356</v>
      </c>
      <c r="AA15" s="41" t="s">
        <v>236</v>
      </c>
      <c r="AB15" s="97"/>
      <c r="AC15" s="8"/>
      <c r="AF15" s="43">
        <v>13</v>
      </c>
      <c r="AG15" s="49" t="s">
        <v>438</v>
      </c>
      <c r="AH15" s="49" t="s">
        <v>439</v>
      </c>
    </row>
    <row r="16" spans="2:34" ht="17.25" customHeight="1" thickBot="1">
      <c r="B16" s="49">
        <v>10</v>
      </c>
      <c r="C16" s="283" t="s">
        <v>148</v>
      </c>
      <c r="D16" s="283" t="s">
        <v>149</v>
      </c>
      <c r="E16" s="283">
        <v>1</v>
      </c>
      <c r="F16" s="283">
        <v>3</v>
      </c>
      <c r="G16" s="283" t="s">
        <v>150</v>
      </c>
      <c r="H16" s="283">
        <v>6</v>
      </c>
      <c r="I16" s="284">
        <v>0.5</v>
      </c>
      <c r="L16" s="44">
        <v>14</v>
      </c>
      <c r="M16" s="19" t="s">
        <v>99</v>
      </c>
      <c r="P16">
        <v>15</v>
      </c>
      <c r="Q16" s="5" t="s">
        <v>52</v>
      </c>
      <c r="R16" s="323"/>
      <c r="T16" s="89">
        <v>15</v>
      </c>
      <c r="U16" s="90" t="s">
        <v>565</v>
      </c>
      <c r="V16" s="90" t="s">
        <v>564</v>
      </c>
      <c r="X16" s="1" t="s">
        <v>235</v>
      </c>
      <c r="Y16" s="53"/>
      <c r="Z16" s="40" t="s">
        <v>357</v>
      </c>
      <c r="AA16" s="41" t="s">
        <v>258</v>
      </c>
      <c r="AB16" s="97"/>
      <c r="AC16" s="8"/>
      <c r="AF16" s="43">
        <v>14</v>
      </c>
      <c r="AG16" s="49" t="s">
        <v>440</v>
      </c>
      <c r="AH16" s="49" t="s">
        <v>441</v>
      </c>
    </row>
    <row r="17" spans="2:34" ht="17.25" customHeight="1" thickBot="1" thickTop="1">
      <c r="B17" s="49">
        <v>11</v>
      </c>
      <c r="C17" s="283"/>
      <c r="D17" s="283" t="s">
        <v>151</v>
      </c>
      <c r="E17" s="283">
        <v>2</v>
      </c>
      <c r="F17" s="283">
        <v>5</v>
      </c>
      <c r="G17" s="283" t="s">
        <v>152</v>
      </c>
      <c r="H17" s="283">
        <v>10</v>
      </c>
      <c r="I17" s="284">
        <v>1</v>
      </c>
      <c r="L17" s="44">
        <v>15</v>
      </c>
      <c r="M17" s="19" t="s">
        <v>101</v>
      </c>
      <c r="P17">
        <v>16</v>
      </c>
      <c r="Q17" s="5" t="s">
        <v>53</v>
      </c>
      <c r="R17" s="323"/>
      <c r="T17" s="89">
        <v>16</v>
      </c>
      <c r="U17" s="90" t="s">
        <v>566</v>
      </c>
      <c r="V17" s="90" t="s">
        <v>565</v>
      </c>
      <c r="X17" s="25" t="s">
        <v>236</v>
      </c>
      <c r="Y17" s="53"/>
      <c r="Z17" s="40" t="s">
        <v>358</v>
      </c>
      <c r="AA17" s="41" t="s">
        <v>249</v>
      </c>
      <c r="AB17" s="97"/>
      <c r="AC17" s="319" t="s">
        <v>43</v>
      </c>
      <c r="AD17" s="320"/>
      <c r="AF17" s="43">
        <v>15</v>
      </c>
      <c r="AG17" s="49" t="s">
        <v>442</v>
      </c>
      <c r="AH17" s="49" t="s">
        <v>443</v>
      </c>
    </row>
    <row r="18" spans="2:34" ht="17.25" customHeight="1" thickBot="1">
      <c r="B18" s="49">
        <v>12</v>
      </c>
      <c r="C18" s="283"/>
      <c r="D18" s="283" t="s">
        <v>153</v>
      </c>
      <c r="E18" s="283">
        <v>2</v>
      </c>
      <c r="F18" s="283">
        <v>8</v>
      </c>
      <c r="G18" s="283" t="s">
        <v>154</v>
      </c>
      <c r="H18" s="283">
        <v>12</v>
      </c>
      <c r="I18" s="284">
        <v>2</v>
      </c>
      <c r="L18" s="44">
        <v>16</v>
      </c>
      <c r="M18" s="19" t="s">
        <v>103</v>
      </c>
      <c r="P18">
        <v>17</v>
      </c>
      <c r="Q18" s="10" t="s">
        <v>54</v>
      </c>
      <c r="R18" s="323"/>
      <c r="T18" s="89">
        <v>17</v>
      </c>
      <c r="U18" s="90" t="s">
        <v>566</v>
      </c>
      <c r="V18" s="90" t="s">
        <v>565</v>
      </c>
      <c r="X18" s="1" t="s">
        <v>237</v>
      </c>
      <c r="Y18" s="53"/>
      <c r="Z18" s="40" t="s">
        <v>173</v>
      </c>
      <c r="AA18" s="41" t="s">
        <v>234</v>
      </c>
      <c r="AB18" s="97"/>
      <c r="AC18" s="4" t="s">
        <v>24</v>
      </c>
      <c r="AD18" s="5" t="s">
        <v>44</v>
      </c>
      <c r="AF18" s="43">
        <v>16</v>
      </c>
      <c r="AG18" s="49" t="s">
        <v>444</v>
      </c>
      <c r="AH18" s="49" t="s">
        <v>447</v>
      </c>
    </row>
    <row r="19" spans="2:34" ht="17.25" customHeight="1" thickBot="1">
      <c r="B19" s="49">
        <v>13</v>
      </c>
      <c r="C19" s="283"/>
      <c r="D19" s="283" t="s">
        <v>155</v>
      </c>
      <c r="E19" s="283">
        <v>2</v>
      </c>
      <c r="F19" s="283">
        <v>16</v>
      </c>
      <c r="G19" s="283" t="s">
        <v>156</v>
      </c>
      <c r="H19" s="283">
        <v>14</v>
      </c>
      <c r="I19" s="284">
        <v>2.5</v>
      </c>
      <c r="L19" s="44">
        <v>17</v>
      </c>
      <c r="M19" s="19" t="s">
        <v>105</v>
      </c>
      <c r="P19">
        <v>18</v>
      </c>
      <c r="Q19" s="12" t="s">
        <v>55</v>
      </c>
      <c r="R19" s="323"/>
      <c r="T19" s="89">
        <v>18</v>
      </c>
      <c r="U19" s="90" t="s">
        <v>566</v>
      </c>
      <c r="V19" s="90" t="s">
        <v>565</v>
      </c>
      <c r="X19" s="25" t="s">
        <v>238</v>
      </c>
      <c r="Z19" s="40" t="s">
        <v>359</v>
      </c>
      <c r="AA19" s="41" t="s">
        <v>236</v>
      </c>
      <c r="AB19" s="97"/>
      <c r="AC19" s="4" t="s">
        <v>26</v>
      </c>
      <c r="AD19" s="5" t="s">
        <v>45</v>
      </c>
      <c r="AF19" s="43">
        <v>17</v>
      </c>
      <c r="AG19" s="49" t="s">
        <v>445</v>
      </c>
      <c r="AH19" s="49" t="s">
        <v>446</v>
      </c>
    </row>
    <row r="20" spans="2:34" ht="17.25" customHeight="1" thickBot="1">
      <c r="B20" s="49">
        <v>14</v>
      </c>
      <c r="C20" s="283" t="s">
        <v>157</v>
      </c>
      <c r="D20" s="283" t="s">
        <v>690</v>
      </c>
      <c r="E20" s="283">
        <v>2</v>
      </c>
      <c r="F20" s="283">
        <v>4</v>
      </c>
      <c r="G20" s="283" t="s">
        <v>154</v>
      </c>
      <c r="H20" s="283">
        <v>12</v>
      </c>
      <c r="I20" s="284">
        <v>2</v>
      </c>
      <c r="L20" s="44">
        <v>18</v>
      </c>
      <c r="M20" s="19" t="s">
        <v>107</v>
      </c>
      <c r="P20">
        <v>19</v>
      </c>
      <c r="Q20" s="5" t="s">
        <v>58</v>
      </c>
      <c r="R20" s="323" t="s">
        <v>498</v>
      </c>
      <c r="T20" s="89">
        <v>19</v>
      </c>
      <c r="U20" s="90" t="s">
        <v>567</v>
      </c>
      <c r="V20" s="90" t="s">
        <v>566</v>
      </c>
      <c r="X20" s="1" t="s">
        <v>239</v>
      </c>
      <c r="Z20" s="40" t="s">
        <v>360</v>
      </c>
      <c r="AA20" s="41" t="s">
        <v>236</v>
      </c>
      <c r="AB20" s="97"/>
      <c r="AC20" s="4" t="s">
        <v>46</v>
      </c>
      <c r="AD20" s="5" t="s">
        <v>47</v>
      </c>
      <c r="AF20" s="43">
        <v>18</v>
      </c>
      <c r="AG20" s="49" t="s">
        <v>448</v>
      </c>
      <c r="AH20" s="49" t="s">
        <v>449</v>
      </c>
    </row>
    <row r="21" spans="2:34" ht="17.25" customHeight="1" thickBot="1">
      <c r="B21" s="49">
        <v>15</v>
      </c>
      <c r="C21" s="283"/>
      <c r="D21" s="283" t="s">
        <v>691</v>
      </c>
      <c r="E21" s="283">
        <v>2</v>
      </c>
      <c r="F21" s="283">
        <v>8</v>
      </c>
      <c r="G21" s="283" t="s">
        <v>156</v>
      </c>
      <c r="H21" s="283">
        <v>14</v>
      </c>
      <c r="I21" s="284">
        <v>2.5</v>
      </c>
      <c r="L21" s="44">
        <v>19</v>
      </c>
      <c r="M21" s="19" t="s">
        <v>109</v>
      </c>
      <c r="P21">
        <v>20</v>
      </c>
      <c r="Q21" s="5" t="s">
        <v>60</v>
      </c>
      <c r="R21" s="323"/>
      <c r="T21" s="89">
        <v>20</v>
      </c>
      <c r="U21" s="90" t="s">
        <v>567</v>
      </c>
      <c r="V21" s="90" t="s">
        <v>566</v>
      </c>
      <c r="X21" s="25" t="s">
        <v>234</v>
      </c>
      <c r="Z21" s="40" t="s">
        <v>361</v>
      </c>
      <c r="AA21" s="41" t="s">
        <v>238</v>
      </c>
      <c r="AB21" s="97"/>
      <c r="AC21" s="6" t="s">
        <v>48</v>
      </c>
      <c r="AD21" s="7" t="s">
        <v>49</v>
      </c>
      <c r="AF21" s="43">
        <v>19</v>
      </c>
      <c r="AG21" s="49" t="s">
        <v>450</v>
      </c>
      <c r="AH21" s="49" t="s">
        <v>451</v>
      </c>
    </row>
    <row r="22" spans="2:34" ht="17.25" customHeight="1" thickBot="1">
      <c r="B22" s="49">
        <v>16</v>
      </c>
      <c r="C22" s="283" t="s">
        <v>158</v>
      </c>
      <c r="D22" s="283" t="s">
        <v>159</v>
      </c>
      <c r="E22" s="283">
        <v>2</v>
      </c>
      <c r="F22" s="283">
        <v>3</v>
      </c>
      <c r="G22" s="283" t="s">
        <v>137</v>
      </c>
      <c r="H22" s="283">
        <v>10</v>
      </c>
      <c r="I22" s="284">
        <v>1.5</v>
      </c>
      <c r="L22" s="44">
        <v>20</v>
      </c>
      <c r="M22" s="19" t="s">
        <v>111</v>
      </c>
      <c r="P22">
        <v>21</v>
      </c>
      <c r="Q22" s="7" t="s">
        <v>62</v>
      </c>
      <c r="R22" s="323"/>
      <c r="T22" s="89">
        <v>21</v>
      </c>
      <c r="U22" s="90" t="s">
        <v>567</v>
      </c>
      <c r="V22" s="90" t="s">
        <v>566</v>
      </c>
      <c r="X22" s="25" t="s">
        <v>240</v>
      </c>
      <c r="Z22" s="40" t="s">
        <v>362</v>
      </c>
      <c r="AA22" s="41" t="s">
        <v>236</v>
      </c>
      <c r="AB22" s="97"/>
      <c r="AC22" s="8"/>
      <c r="AF22" s="43">
        <v>20</v>
      </c>
      <c r="AG22" s="49" t="s">
        <v>452</v>
      </c>
      <c r="AH22" s="49" t="s">
        <v>453</v>
      </c>
    </row>
    <row r="23" spans="2:34" ht="17.25" customHeight="1" thickBot="1">
      <c r="B23" s="49">
        <v>17</v>
      </c>
      <c r="C23" s="283"/>
      <c r="D23" s="283" t="s">
        <v>160</v>
      </c>
      <c r="E23" s="283">
        <v>2</v>
      </c>
      <c r="F23" s="283">
        <v>3</v>
      </c>
      <c r="G23" s="283" t="s">
        <v>139</v>
      </c>
      <c r="H23" s="283">
        <v>10</v>
      </c>
      <c r="I23" s="284">
        <v>1.5</v>
      </c>
      <c r="L23" s="44">
        <v>21</v>
      </c>
      <c r="M23" s="19" t="s">
        <v>113</v>
      </c>
      <c r="P23">
        <v>22</v>
      </c>
      <c r="Q23" s="5" t="s">
        <v>65</v>
      </c>
      <c r="R23" s="323" t="s">
        <v>499</v>
      </c>
      <c r="T23" s="89">
        <v>22</v>
      </c>
      <c r="U23" s="90" t="s">
        <v>570</v>
      </c>
      <c r="V23" s="90" t="s">
        <v>567</v>
      </c>
      <c r="X23" s="25" t="s">
        <v>241</v>
      </c>
      <c r="Z23" s="40" t="s">
        <v>363</v>
      </c>
      <c r="AA23" s="41" t="s">
        <v>274</v>
      </c>
      <c r="AB23" s="97"/>
      <c r="AC23" s="8"/>
      <c r="AF23" s="43">
        <v>21</v>
      </c>
      <c r="AG23" s="49" t="s">
        <v>454</v>
      </c>
      <c r="AH23" s="49" t="s">
        <v>455</v>
      </c>
    </row>
    <row r="24" spans="2:34" ht="17.25" customHeight="1" thickBot="1" thickTop="1">
      <c r="B24" s="49">
        <v>18</v>
      </c>
      <c r="C24" s="283"/>
      <c r="D24" s="283" t="s">
        <v>161</v>
      </c>
      <c r="E24" s="283">
        <v>3</v>
      </c>
      <c r="F24" s="283">
        <v>8</v>
      </c>
      <c r="G24" s="283" t="s">
        <v>142</v>
      </c>
      <c r="H24" s="283">
        <v>12</v>
      </c>
      <c r="I24" s="284">
        <v>2</v>
      </c>
      <c r="L24" s="44">
        <v>22</v>
      </c>
      <c r="M24" s="19" t="s">
        <v>115</v>
      </c>
      <c r="P24">
        <v>23</v>
      </c>
      <c r="Q24" s="5" t="s">
        <v>67</v>
      </c>
      <c r="R24" s="323"/>
      <c r="T24" s="89">
        <v>23</v>
      </c>
      <c r="U24" s="90" t="s">
        <v>570</v>
      </c>
      <c r="V24" s="90" t="s">
        <v>567</v>
      </c>
      <c r="X24" s="25" t="s">
        <v>242</v>
      </c>
      <c r="Z24" s="40" t="s">
        <v>364</v>
      </c>
      <c r="AA24" s="41" t="s">
        <v>236</v>
      </c>
      <c r="AB24" s="97"/>
      <c r="AC24" s="319" t="s">
        <v>50</v>
      </c>
      <c r="AD24" s="320"/>
      <c r="AF24" s="43">
        <v>22</v>
      </c>
      <c r="AG24" s="49" t="s">
        <v>456</v>
      </c>
      <c r="AH24" s="49" t="s">
        <v>457</v>
      </c>
    </row>
    <row r="25" spans="2:34" ht="17.25" customHeight="1" thickBot="1">
      <c r="B25" s="49">
        <v>19</v>
      </c>
      <c r="C25" s="283" t="s">
        <v>162</v>
      </c>
      <c r="D25" s="283" t="s">
        <v>692</v>
      </c>
      <c r="E25" s="283">
        <v>3</v>
      </c>
      <c r="F25" s="283">
        <v>4</v>
      </c>
      <c r="G25" s="283" t="s">
        <v>142</v>
      </c>
      <c r="H25" s="283">
        <v>12</v>
      </c>
      <c r="I25" s="284">
        <v>2</v>
      </c>
      <c r="L25" s="44">
        <v>23</v>
      </c>
      <c r="M25" s="19" t="s">
        <v>117</v>
      </c>
      <c r="P25">
        <v>24</v>
      </c>
      <c r="Q25" s="5" t="s">
        <v>68</v>
      </c>
      <c r="R25" s="323"/>
      <c r="T25" s="89">
        <v>24</v>
      </c>
      <c r="U25" s="90" t="s">
        <v>570</v>
      </c>
      <c r="V25" s="90" t="s">
        <v>567</v>
      </c>
      <c r="X25" s="1" t="s">
        <v>243</v>
      </c>
      <c r="Z25" s="40" t="s">
        <v>365</v>
      </c>
      <c r="AA25" s="41" t="s">
        <v>236</v>
      </c>
      <c r="AB25" s="97"/>
      <c r="AC25" s="4" t="s">
        <v>33</v>
      </c>
      <c r="AD25" s="5" t="s">
        <v>51</v>
      </c>
      <c r="AF25" s="43">
        <v>23</v>
      </c>
      <c r="AG25" s="49" t="s">
        <v>465</v>
      </c>
      <c r="AH25" s="49" t="s">
        <v>466</v>
      </c>
    </row>
    <row r="26" spans="2:34" ht="17.25" customHeight="1" thickBot="1">
      <c r="B26" s="49">
        <v>20</v>
      </c>
      <c r="C26" s="283"/>
      <c r="D26" s="283" t="s">
        <v>163</v>
      </c>
      <c r="E26" s="283">
        <v>5</v>
      </c>
      <c r="F26" s="283">
        <v>6</v>
      </c>
      <c r="G26" s="283" t="s">
        <v>154</v>
      </c>
      <c r="H26" s="283">
        <v>14</v>
      </c>
      <c r="I26" s="284">
        <v>3</v>
      </c>
      <c r="L26" s="44">
        <v>24</v>
      </c>
      <c r="M26" s="19" t="s">
        <v>118</v>
      </c>
      <c r="P26">
        <v>25</v>
      </c>
      <c r="Q26" s="5" t="s">
        <v>70</v>
      </c>
      <c r="R26" s="323"/>
      <c r="T26" s="89">
        <v>25</v>
      </c>
      <c r="U26" s="90" t="s">
        <v>571</v>
      </c>
      <c r="V26" s="90" t="s">
        <v>570</v>
      </c>
      <c r="X26" s="25" t="s">
        <v>236</v>
      </c>
      <c r="Z26" s="40" t="s">
        <v>366</v>
      </c>
      <c r="AA26" s="41" t="s">
        <v>345</v>
      </c>
      <c r="AB26" s="97"/>
      <c r="AC26" s="4" t="s">
        <v>35</v>
      </c>
      <c r="AD26" s="5" t="s">
        <v>52</v>
      </c>
      <c r="AF26" s="43">
        <v>24</v>
      </c>
      <c r="AG26" s="49" t="s">
        <v>467</v>
      </c>
      <c r="AH26" s="49" t="s">
        <v>468</v>
      </c>
    </row>
    <row r="27" spans="2:34" ht="17.25" customHeight="1" thickBot="1">
      <c r="B27" s="49">
        <v>21</v>
      </c>
      <c r="C27" s="283" t="s">
        <v>164</v>
      </c>
      <c r="D27" s="283" t="s">
        <v>165</v>
      </c>
      <c r="E27" s="283">
        <v>0</v>
      </c>
      <c r="F27" s="283">
        <v>2</v>
      </c>
      <c r="G27" s="283" t="s">
        <v>131</v>
      </c>
      <c r="H27" s="283">
        <v>6</v>
      </c>
      <c r="I27" s="284" t="s">
        <v>166</v>
      </c>
      <c r="L27" s="44">
        <v>25</v>
      </c>
      <c r="M27" s="19" t="s">
        <v>119</v>
      </c>
      <c r="P27">
        <v>26</v>
      </c>
      <c r="Q27" s="7" t="s">
        <v>71</v>
      </c>
      <c r="R27" s="323"/>
      <c r="T27" s="89">
        <v>26</v>
      </c>
      <c r="U27" s="90" t="s">
        <v>571</v>
      </c>
      <c r="V27" s="90" t="s">
        <v>570</v>
      </c>
      <c r="X27" s="1" t="s">
        <v>244</v>
      </c>
      <c r="Z27" s="40" t="s">
        <v>367</v>
      </c>
      <c r="AA27" s="41" t="s">
        <v>238</v>
      </c>
      <c r="AB27" s="97"/>
      <c r="AC27" s="4" t="s">
        <v>37</v>
      </c>
      <c r="AD27" s="5" t="s">
        <v>53</v>
      </c>
      <c r="AF27" s="43">
        <v>25</v>
      </c>
      <c r="AG27" s="49" t="s">
        <v>469</v>
      </c>
      <c r="AH27" s="49" t="s">
        <v>470</v>
      </c>
    </row>
    <row r="28" spans="2:34" ht="17.25" customHeight="1" thickBot="1">
      <c r="B28" s="49">
        <v>22</v>
      </c>
      <c r="C28" s="283"/>
      <c r="D28" s="283" t="s">
        <v>167</v>
      </c>
      <c r="E28" s="283">
        <v>1</v>
      </c>
      <c r="F28" s="283">
        <v>2</v>
      </c>
      <c r="G28" s="283" t="s">
        <v>132</v>
      </c>
      <c r="H28" s="283">
        <v>8</v>
      </c>
      <c r="I28" s="284">
        <v>1</v>
      </c>
      <c r="L28" s="44">
        <v>26</v>
      </c>
      <c r="M28" s="19" t="s">
        <v>120</v>
      </c>
      <c r="T28" s="89">
        <v>27</v>
      </c>
      <c r="U28" s="90" t="s">
        <v>571</v>
      </c>
      <c r="V28" s="90" t="s">
        <v>570</v>
      </c>
      <c r="X28" s="25" t="s">
        <v>245</v>
      </c>
      <c r="Z28" s="40" t="s">
        <v>368</v>
      </c>
      <c r="AA28" s="41" t="s">
        <v>236</v>
      </c>
      <c r="AB28" s="97"/>
      <c r="AC28" s="9" t="s">
        <v>39</v>
      </c>
      <c r="AD28" s="10" t="s">
        <v>54</v>
      </c>
      <c r="AF28" s="43">
        <v>26</v>
      </c>
      <c r="AG28" s="49" t="s">
        <v>471</v>
      </c>
      <c r="AH28" s="49" t="s">
        <v>472</v>
      </c>
    </row>
    <row r="29" spans="2:34" ht="17.25" customHeight="1" thickBot="1">
      <c r="B29" s="49">
        <v>23</v>
      </c>
      <c r="C29" s="283"/>
      <c r="D29" s="283" t="s">
        <v>168</v>
      </c>
      <c r="E29" s="283">
        <v>1</v>
      </c>
      <c r="F29" s="283">
        <v>5</v>
      </c>
      <c r="G29" s="283" t="s">
        <v>137</v>
      </c>
      <c r="H29" s="283">
        <v>10</v>
      </c>
      <c r="I29" s="284">
        <v>1.5</v>
      </c>
      <c r="L29" s="44">
        <v>27</v>
      </c>
      <c r="M29" s="19" t="s">
        <v>121</v>
      </c>
      <c r="T29" s="89">
        <v>28</v>
      </c>
      <c r="U29" s="90" t="s">
        <v>572</v>
      </c>
      <c r="V29" s="90" t="s">
        <v>571</v>
      </c>
      <c r="X29" s="1" t="s">
        <v>246</v>
      </c>
      <c r="Z29" s="40" t="s">
        <v>369</v>
      </c>
      <c r="AA29" s="41" t="s">
        <v>274</v>
      </c>
      <c r="AB29" s="97"/>
      <c r="AC29" s="11" t="s">
        <v>41</v>
      </c>
      <c r="AD29" s="12" t="s">
        <v>55</v>
      </c>
      <c r="AF29" s="43">
        <v>27</v>
      </c>
      <c r="AG29" s="49" t="s">
        <v>473</v>
      </c>
      <c r="AH29" s="49" t="s">
        <v>474</v>
      </c>
    </row>
    <row r="30" spans="2:34" ht="17.25" customHeight="1" thickBot="1">
      <c r="B30" s="49">
        <v>24</v>
      </c>
      <c r="C30" s="283"/>
      <c r="D30" s="283" t="s">
        <v>169</v>
      </c>
      <c r="E30" s="283">
        <v>2</v>
      </c>
      <c r="F30" s="283">
        <v>8</v>
      </c>
      <c r="G30" s="283" t="s">
        <v>142</v>
      </c>
      <c r="H30" s="283">
        <v>12</v>
      </c>
      <c r="I30" s="284">
        <v>2.5</v>
      </c>
      <c r="L30" s="44">
        <v>28</v>
      </c>
      <c r="M30" s="21" t="s">
        <v>122</v>
      </c>
      <c r="T30" s="89">
        <v>29</v>
      </c>
      <c r="U30" s="90" t="s">
        <v>572</v>
      </c>
      <c r="V30" s="90" t="s">
        <v>571</v>
      </c>
      <c r="X30" s="25" t="s">
        <v>236</v>
      </c>
      <c r="Z30" s="40" t="s">
        <v>370</v>
      </c>
      <c r="AA30" s="41" t="s">
        <v>238</v>
      </c>
      <c r="AB30" s="97"/>
      <c r="AC30" s="8"/>
      <c r="AF30" s="43">
        <v>28</v>
      </c>
      <c r="AG30" s="49" t="s">
        <v>475</v>
      </c>
      <c r="AH30" s="49" t="s">
        <v>476</v>
      </c>
    </row>
    <row r="31" spans="2:34" ht="17.25" customHeight="1" thickBot="1" thickTop="1">
      <c r="B31" s="49">
        <v>25</v>
      </c>
      <c r="C31" s="283"/>
      <c r="D31" s="283" t="s">
        <v>170</v>
      </c>
      <c r="E31" s="283">
        <v>2</v>
      </c>
      <c r="F31" s="283">
        <v>16</v>
      </c>
      <c r="G31" s="283" t="s">
        <v>154</v>
      </c>
      <c r="H31" s="283">
        <v>14</v>
      </c>
      <c r="I31" s="284">
        <v>3</v>
      </c>
      <c r="L31" s="44">
        <v>29</v>
      </c>
      <c r="M31" s="20" t="s">
        <v>74</v>
      </c>
      <c r="T31" s="89">
        <v>30</v>
      </c>
      <c r="U31" s="90" t="s">
        <v>572</v>
      </c>
      <c r="V31" s="90" t="s">
        <v>571</v>
      </c>
      <c r="X31" s="25" t="s">
        <v>247</v>
      </c>
      <c r="Z31" s="40" t="s">
        <v>371</v>
      </c>
      <c r="AA31" s="41" t="s">
        <v>234</v>
      </c>
      <c r="AB31" s="97"/>
      <c r="AC31" s="8"/>
      <c r="AF31" s="43">
        <v>29</v>
      </c>
      <c r="AG31" s="49"/>
      <c r="AH31" s="49"/>
    </row>
    <row r="32" spans="2:34" ht="17.25" customHeight="1" thickBot="1" thickTop="1">
      <c r="B32" s="49">
        <v>26</v>
      </c>
      <c r="C32" s="283" t="s">
        <v>171</v>
      </c>
      <c r="D32" s="283" t="s">
        <v>172</v>
      </c>
      <c r="E32" s="283">
        <v>2</v>
      </c>
      <c r="F32" s="283">
        <v>3</v>
      </c>
      <c r="G32" s="283" t="s">
        <v>150</v>
      </c>
      <c r="H32" s="283">
        <v>10</v>
      </c>
      <c r="I32" s="284">
        <v>1</v>
      </c>
      <c r="L32" s="44">
        <v>30</v>
      </c>
      <c r="M32" s="19" t="s">
        <v>76</v>
      </c>
      <c r="T32" s="89">
        <v>31</v>
      </c>
      <c r="U32" s="90"/>
      <c r="V32" s="90"/>
      <c r="X32" s="1" t="s">
        <v>248</v>
      </c>
      <c r="Z32" s="40" t="s">
        <v>372</v>
      </c>
      <c r="AA32" s="41" t="s">
        <v>234</v>
      </c>
      <c r="AB32" s="97"/>
      <c r="AC32" s="319" t="s">
        <v>56</v>
      </c>
      <c r="AD32" s="320"/>
      <c r="AF32" s="43">
        <v>30</v>
      </c>
      <c r="AG32" s="49"/>
      <c r="AH32" s="49"/>
    </row>
    <row r="33" spans="2:34" ht="17.25" customHeight="1" thickBot="1">
      <c r="B33" s="49">
        <v>27</v>
      </c>
      <c r="C33" s="283"/>
      <c r="D33" s="283" t="s">
        <v>693</v>
      </c>
      <c r="E33" s="283">
        <v>2</v>
      </c>
      <c r="F33" s="283">
        <v>4</v>
      </c>
      <c r="G33" s="283" t="s">
        <v>142</v>
      </c>
      <c r="H33" s="283">
        <v>12</v>
      </c>
      <c r="I33" s="284">
        <v>2.5</v>
      </c>
      <c r="L33" s="44">
        <v>31</v>
      </c>
      <c r="M33" s="19" t="s">
        <v>78</v>
      </c>
      <c r="T33" s="89">
        <v>32</v>
      </c>
      <c r="U33" s="90"/>
      <c r="V33" s="90"/>
      <c r="X33" s="25" t="s">
        <v>249</v>
      </c>
      <c r="Z33" s="40" t="s">
        <v>373</v>
      </c>
      <c r="AA33" s="41" t="s">
        <v>238</v>
      </c>
      <c r="AB33" s="97"/>
      <c r="AC33" s="4" t="s">
        <v>57</v>
      </c>
      <c r="AD33" s="5" t="s">
        <v>58</v>
      </c>
      <c r="AF33" s="43">
        <v>31</v>
      </c>
      <c r="AG33" s="49"/>
      <c r="AH33" s="49"/>
    </row>
    <row r="34" spans="2:34" ht="17.25" customHeight="1" thickBot="1">
      <c r="B34" s="49">
        <v>28</v>
      </c>
      <c r="C34" s="283"/>
      <c r="D34" s="283" t="s">
        <v>694</v>
      </c>
      <c r="E34" s="283">
        <v>2</v>
      </c>
      <c r="F34" s="283">
        <v>8</v>
      </c>
      <c r="G34" s="283" t="s">
        <v>154</v>
      </c>
      <c r="H34" s="283">
        <v>14</v>
      </c>
      <c r="I34" s="284">
        <v>3</v>
      </c>
      <c r="L34" s="44">
        <v>32</v>
      </c>
      <c r="M34" s="19" t="s">
        <v>80</v>
      </c>
      <c r="T34" s="89">
        <v>33</v>
      </c>
      <c r="U34" s="90"/>
      <c r="V34" s="90"/>
      <c r="X34" s="25" t="s">
        <v>250</v>
      </c>
      <c r="Z34" s="40" t="s">
        <v>374</v>
      </c>
      <c r="AA34" s="41" t="s">
        <v>234</v>
      </c>
      <c r="AB34" s="97"/>
      <c r="AC34" s="4" t="s">
        <v>59</v>
      </c>
      <c r="AD34" s="5" t="s">
        <v>60</v>
      </c>
      <c r="AF34" s="43">
        <v>32</v>
      </c>
      <c r="AG34" s="49"/>
      <c r="AH34" s="49"/>
    </row>
    <row r="35" spans="2:34" ht="17.25" customHeight="1" thickBot="1">
      <c r="B35" s="49">
        <v>29</v>
      </c>
      <c r="C35" s="283" t="s">
        <v>173</v>
      </c>
      <c r="D35" s="283" t="s">
        <v>173</v>
      </c>
      <c r="E35" s="283">
        <v>0</v>
      </c>
      <c r="F35" s="283">
        <v>1</v>
      </c>
      <c r="G35" s="283" t="s">
        <v>130</v>
      </c>
      <c r="H35" s="283">
        <v>0</v>
      </c>
      <c r="I35" s="284">
        <v>0</v>
      </c>
      <c r="L35" s="44">
        <v>33</v>
      </c>
      <c r="M35" s="19" t="s">
        <v>82</v>
      </c>
      <c r="T35" s="89">
        <v>34</v>
      </c>
      <c r="U35" s="90"/>
      <c r="V35" s="90"/>
      <c r="X35" s="25" t="s">
        <v>251</v>
      </c>
      <c r="Z35" s="40" t="s">
        <v>375</v>
      </c>
      <c r="AA35" s="41" t="s">
        <v>238</v>
      </c>
      <c r="AB35" s="97"/>
      <c r="AC35" s="6" t="s">
        <v>61</v>
      </c>
      <c r="AD35" s="7" t="s">
        <v>62</v>
      </c>
      <c r="AF35" s="43">
        <v>33</v>
      </c>
      <c r="AG35" s="49"/>
      <c r="AH35" s="49"/>
    </row>
    <row r="36" spans="2:34" ht="17.25" customHeight="1" thickBot="1">
      <c r="B36" s="49">
        <v>30</v>
      </c>
      <c r="C36" s="283"/>
      <c r="D36" s="283" t="s">
        <v>174</v>
      </c>
      <c r="E36" s="283">
        <v>0</v>
      </c>
      <c r="F36" s="283">
        <v>2</v>
      </c>
      <c r="G36" s="283" t="s">
        <v>131</v>
      </c>
      <c r="H36" s="283">
        <v>6</v>
      </c>
      <c r="I36" s="284">
        <v>0.5</v>
      </c>
      <c r="L36" s="44">
        <v>34</v>
      </c>
      <c r="M36" s="19" t="s">
        <v>84</v>
      </c>
      <c r="T36" s="89">
        <v>35</v>
      </c>
      <c r="U36" s="90"/>
      <c r="V36" s="90"/>
      <c r="X36" s="25" t="s">
        <v>252</v>
      </c>
      <c r="Z36" s="40" t="s">
        <v>376</v>
      </c>
      <c r="AA36" s="41" t="s">
        <v>238</v>
      </c>
      <c r="AB36" s="97"/>
      <c r="AC36" s="8"/>
      <c r="AF36" s="43">
        <v>34</v>
      </c>
      <c r="AG36" s="49"/>
      <c r="AH36" s="49"/>
    </row>
    <row r="37" spans="2:29" ht="30.75" thickBot="1">
      <c r="B37" s="49">
        <v>31</v>
      </c>
      <c r="C37" s="283"/>
      <c r="D37" s="283"/>
      <c r="E37" s="283"/>
      <c r="F37" s="283"/>
      <c r="G37" s="283"/>
      <c r="H37" s="283"/>
      <c r="I37" s="284"/>
      <c r="L37" s="44">
        <v>35</v>
      </c>
      <c r="M37" s="19" t="s">
        <v>86</v>
      </c>
      <c r="T37" s="89">
        <v>36</v>
      </c>
      <c r="U37" s="90"/>
      <c r="V37" s="90"/>
      <c r="X37" s="25" t="s">
        <v>253</v>
      </c>
      <c r="Z37" s="40" t="s">
        <v>377</v>
      </c>
      <c r="AA37" s="41" t="s">
        <v>346</v>
      </c>
      <c r="AB37" s="97"/>
      <c r="AC37" s="8"/>
    </row>
    <row r="38" spans="2:30" ht="31.5" thickBot="1" thickTop="1">
      <c r="B38" s="49">
        <v>32</v>
      </c>
      <c r="C38" s="49" t="s">
        <v>652</v>
      </c>
      <c r="D38" s="49" t="s">
        <v>652</v>
      </c>
      <c r="E38" s="44" t="s">
        <v>407</v>
      </c>
      <c r="F38" s="44" t="s">
        <v>407</v>
      </c>
      <c r="G38" s="44" t="s">
        <v>407</v>
      </c>
      <c r="H38" s="44" t="s">
        <v>407</v>
      </c>
      <c r="I38" s="285">
        <v>0</v>
      </c>
      <c r="L38" s="44">
        <v>36</v>
      </c>
      <c r="M38" s="19" t="s">
        <v>88</v>
      </c>
      <c r="T38" s="89">
        <v>37</v>
      </c>
      <c r="U38" s="90"/>
      <c r="V38" s="90"/>
      <c r="X38" s="1" t="s">
        <v>254</v>
      </c>
      <c r="Z38" s="40" t="s">
        <v>378</v>
      </c>
      <c r="AA38" s="41" t="s">
        <v>236</v>
      </c>
      <c r="AB38" s="97"/>
      <c r="AC38" s="319" t="s">
        <v>63</v>
      </c>
      <c r="AD38" s="320"/>
    </row>
    <row r="39" spans="12:30" ht="30.75" thickBot="1">
      <c r="L39" s="44">
        <v>37</v>
      </c>
      <c r="M39" s="19" t="s">
        <v>90</v>
      </c>
      <c r="T39" s="89">
        <v>38</v>
      </c>
      <c r="U39" s="90"/>
      <c r="V39" s="90"/>
      <c r="X39" s="25" t="s">
        <v>236</v>
      </c>
      <c r="Z39" s="40" t="s">
        <v>379</v>
      </c>
      <c r="AA39" s="41" t="s">
        <v>236</v>
      </c>
      <c r="AB39" s="97"/>
      <c r="AC39" s="4" t="s">
        <v>64</v>
      </c>
      <c r="AD39" s="5" t="s">
        <v>65</v>
      </c>
    </row>
    <row r="40" spans="3:30" ht="31.5" customHeight="1" thickBot="1" thickTop="1">
      <c r="C40" s="24" t="s">
        <v>123</v>
      </c>
      <c r="D40" s="18" t="s">
        <v>175</v>
      </c>
      <c r="E40" s="18" t="s">
        <v>414</v>
      </c>
      <c r="F40" s="23" t="s">
        <v>176</v>
      </c>
      <c r="G40" s="62" t="s">
        <v>413</v>
      </c>
      <c r="H40" s="63" t="s">
        <v>416</v>
      </c>
      <c r="I40" s="63" t="s">
        <v>417</v>
      </c>
      <c r="L40" s="44">
        <v>38</v>
      </c>
      <c r="M40" s="19" t="s">
        <v>92</v>
      </c>
      <c r="T40" s="89">
        <v>39</v>
      </c>
      <c r="U40" s="90"/>
      <c r="V40" s="90"/>
      <c r="X40" s="25" t="s">
        <v>255</v>
      </c>
      <c r="Z40" s="40" t="s">
        <v>380</v>
      </c>
      <c r="AA40" s="41" t="s">
        <v>301</v>
      </c>
      <c r="AB40" s="97"/>
      <c r="AC40" s="4" t="s">
        <v>66</v>
      </c>
      <c r="AD40" s="5" t="s">
        <v>67</v>
      </c>
    </row>
    <row r="41" spans="2:30" ht="30.75" thickBot="1">
      <c r="B41" s="64">
        <v>1</v>
      </c>
      <c r="C41" s="48" t="s">
        <v>504</v>
      </c>
      <c r="D41" s="48">
        <v>0</v>
      </c>
      <c r="E41" s="48">
        <v>0</v>
      </c>
      <c r="F41" s="48"/>
      <c r="G41" s="48">
        <v>0</v>
      </c>
      <c r="H41" s="48">
        <v>0</v>
      </c>
      <c r="I41" s="48">
        <v>0</v>
      </c>
      <c r="L41" s="44">
        <v>39</v>
      </c>
      <c r="M41" s="19" t="s">
        <v>94</v>
      </c>
      <c r="T41" s="89">
        <v>40</v>
      </c>
      <c r="U41" s="90"/>
      <c r="V41" s="90"/>
      <c r="X41" s="25" t="s">
        <v>256</v>
      </c>
      <c r="Z41" s="40" t="s">
        <v>381</v>
      </c>
      <c r="AA41" s="41" t="s">
        <v>236</v>
      </c>
      <c r="AB41" s="97"/>
      <c r="AC41" s="4" t="s">
        <v>37</v>
      </c>
      <c r="AD41" s="5" t="s">
        <v>68</v>
      </c>
    </row>
    <row r="42" spans="2:30" ht="30.75" thickBot="1">
      <c r="B42" s="64">
        <v>2</v>
      </c>
      <c r="C42" s="48" t="s">
        <v>177</v>
      </c>
      <c r="D42" s="48">
        <v>1</v>
      </c>
      <c r="E42" s="48" t="s">
        <v>178</v>
      </c>
      <c r="F42" s="48" t="s">
        <v>179</v>
      </c>
      <c r="G42" s="48">
        <v>2</v>
      </c>
      <c r="H42" s="64">
        <f>(Création!E22)/10</f>
        <v>0.3</v>
      </c>
      <c r="I42" s="64">
        <f aca="true" t="shared" si="0" ref="I42:I51">tcorp*G42</f>
        <v>6</v>
      </c>
      <c r="L42" s="44">
        <v>40</v>
      </c>
      <c r="M42" s="19" t="s">
        <v>96</v>
      </c>
      <c r="T42" s="89">
        <v>41</v>
      </c>
      <c r="U42" s="90"/>
      <c r="V42" s="90"/>
      <c r="X42" s="1" t="s">
        <v>257</v>
      </c>
      <c r="Z42" s="40" t="s">
        <v>347</v>
      </c>
      <c r="AA42" s="41" t="s">
        <v>238</v>
      </c>
      <c r="AB42" s="97"/>
      <c r="AC42" s="4" t="s">
        <v>69</v>
      </c>
      <c r="AD42" s="5" t="s">
        <v>70</v>
      </c>
    </row>
    <row r="43" spans="2:30" ht="30.75" thickBot="1">
      <c r="B43" s="64">
        <v>3</v>
      </c>
      <c r="C43" s="48" t="s">
        <v>180</v>
      </c>
      <c r="D43" s="48">
        <v>2</v>
      </c>
      <c r="E43" s="48" t="s">
        <v>178</v>
      </c>
      <c r="F43" s="48" t="s">
        <v>179</v>
      </c>
      <c r="G43" s="48">
        <v>3</v>
      </c>
      <c r="H43" s="64">
        <f>(Création!E22)/10</f>
        <v>0.3</v>
      </c>
      <c r="I43" s="64">
        <f t="shared" si="0"/>
        <v>9</v>
      </c>
      <c r="L43" s="44">
        <v>41</v>
      </c>
      <c r="M43" s="19" t="s">
        <v>98</v>
      </c>
      <c r="T43" s="89">
        <v>42</v>
      </c>
      <c r="U43" s="90"/>
      <c r="V43" s="90"/>
      <c r="X43" s="25" t="s">
        <v>258</v>
      </c>
      <c r="Z43" s="40" t="s">
        <v>382</v>
      </c>
      <c r="AA43" s="41" t="s">
        <v>274</v>
      </c>
      <c r="AB43" s="97"/>
      <c r="AC43" s="6" t="s">
        <v>30</v>
      </c>
      <c r="AD43" s="7" t="s">
        <v>71</v>
      </c>
    </row>
    <row r="44" spans="2:28" ht="30.75" thickBot="1">
      <c r="B44" s="64">
        <v>4</v>
      </c>
      <c r="C44" s="48" t="s">
        <v>181</v>
      </c>
      <c r="D44" s="48">
        <v>3</v>
      </c>
      <c r="E44" s="48" t="s">
        <v>178</v>
      </c>
      <c r="F44" s="48" t="s">
        <v>179</v>
      </c>
      <c r="G44" s="48">
        <v>5</v>
      </c>
      <c r="H44" s="64">
        <f>(Création!E22)/10</f>
        <v>0.3</v>
      </c>
      <c r="I44" s="64">
        <f t="shared" si="0"/>
        <v>15</v>
      </c>
      <c r="L44" s="44">
        <v>42</v>
      </c>
      <c r="M44" s="19" t="s">
        <v>100</v>
      </c>
      <c r="T44" s="89">
        <v>43</v>
      </c>
      <c r="U44" s="90"/>
      <c r="V44" s="90"/>
      <c r="X44" s="1" t="s">
        <v>259</v>
      </c>
      <c r="Z44" s="40" t="s">
        <v>383</v>
      </c>
      <c r="AA44" s="41" t="s">
        <v>236</v>
      </c>
      <c r="AB44" s="97"/>
    </row>
    <row r="45" spans="2:28" ht="30.75" thickBot="1">
      <c r="B45" s="64">
        <v>5</v>
      </c>
      <c r="C45" s="48" t="s">
        <v>182</v>
      </c>
      <c r="D45" s="48">
        <v>4</v>
      </c>
      <c r="E45" s="48" t="s">
        <v>183</v>
      </c>
      <c r="F45" s="48" t="s">
        <v>184</v>
      </c>
      <c r="G45" s="48">
        <v>10</v>
      </c>
      <c r="H45" s="64">
        <f>(Création!E22/10)+0.1</f>
        <v>0.4</v>
      </c>
      <c r="I45" s="64">
        <f t="shared" si="0"/>
        <v>30</v>
      </c>
      <c r="L45" s="44">
        <v>43</v>
      </c>
      <c r="M45" s="19" t="s">
        <v>102</v>
      </c>
      <c r="T45" s="89">
        <v>44</v>
      </c>
      <c r="U45" s="90"/>
      <c r="V45" s="90"/>
      <c r="X45" s="25" t="s">
        <v>249</v>
      </c>
      <c r="Z45" s="40" t="s">
        <v>348</v>
      </c>
      <c r="AA45" s="41" t="s">
        <v>349</v>
      </c>
      <c r="AB45" s="97"/>
    </row>
    <row r="46" spans="2:28" ht="30.75" thickBot="1">
      <c r="B46" s="64">
        <v>6</v>
      </c>
      <c r="C46" s="48" t="s">
        <v>191</v>
      </c>
      <c r="D46" s="48">
        <v>5</v>
      </c>
      <c r="E46" s="48" t="s">
        <v>185</v>
      </c>
      <c r="F46" s="48" t="s">
        <v>179</v>
      </c>
      <c r="G46" s="48">
        <v>15</v>
      </c>
      <c r="H46" s="64">
        <f>(Création!E22/10)+0.2</f>
        <v>0.5</v>
      </c>
      <c r="I46" s="64">
        <f t="shared" si="0"/>
        <v>45</v>
      </c>
      <c r="L46" s="44">
        <v>44</v>
      </c>
      <c r="M46" s="19" t="s">
        <v>104</v>
      </c>
      <c r="T46" s="89">
        <v>45</v>
      </c>
      <c r="U46" s="90"/>
      <c r="V46" s="90"/>
      <c r="X46" s="25" t="s">
        <v>260</v>
      </c>
      <c r="Z46" s="40" t="s">
        <v>384</v>
      </c>
      <c r="AA46" s="41" t="s">
        <v>238</v>
      </c>
      <c r="AB46" s="97"/>
    </row>
    <row r="47" spans="2:28" ht="30.75" thickBot="1">
      <c r="B47" s="64">
        <v>7</v>
      </c>
      <c r="C47" s="48" t="s">
        <v>192</v>
      </c>
      <c r="D47" s="48">
        <v>6</v>
      </c>
      <c r="E47" s="48" t="s">
        <v>186</v>
      </c>
      <c r="F47" s="48" t="s">
        <v>179</v>
      </c>
      <c r="G47" s="48">
        <v>25</v>
      </c>
      <c r="H47" s="64">
        <f>(Création!E22/10)+0.3</f>
        <v>0.6</v>
      </c>
      <c r="I47" s="64">
        <f t="shared" si="0"/>
        <v>75</v>
      </c>
      <c r="L47" s="44">
        <v>45</v>
      </c>
      <c r="M47" s="19" t="s">
        <v>106</v>
      </c>
      <c r="T47" s="89">
        <v>46</v>
      </c>
      <c r="U47" s="90"/>
      <c r="V47" s="90"/>
      <c r="X47" s="25" t="s">
        <v>261</v>
      </c>
      <c r="Z47" s="40" t="s">
        <v>385</v>
      </c>
      <c r="AA47" s="41" t="s">
        <v>234</v>
      </c>
      <c r="AB47" s="97"/>
    </row>
    <row r="48" spans="2:28" ht="30.75" thickBot="1">
      <c r="B48" s="64">
        <v>8</v>
      </c>
      <c r="C48" s="48" t="s">
        <v>193</v>
      </c>
      <c r="D48" s="48">
        <v>7</v>
      </c>
      <c r="E48" s="48" t="s">
        <v>187</v>
      </c>
      <c r="F48" s="48" t="s">
        <v>179</v>
      </c>
      <c r="G48" s="48">
        <v>45</v>
      </c>
      <c r="H48" s="64">
        <f>(Création!E22/10)+0.4</f>
        <v>0.7</v>
      </c>
      <c r="I48" s="64">
        <f t="shared" si="0"/>
        <v>135</v>
      </c>
      <c r="L48" s="44">
        <v>46</v>
      </c>
      <c r="M48" s="19" t="s">
        <v>108</v>
      </c>
      <c r="T48" s="89">
        <v>47</v>
      </c>
      <c r="U48" s="90"/>
      <c r="V48" s="90"/>
      <c r="X48" s="25" t="s">
        <v>262</v>
      </c>
      <c r="Z48" s="40" t="s">
        <v>386</v>
      </c>
      <c r="AA48" s="41" t="s">
        <v>312</v>
      </c>
      <c r="AB48" s="97"/>
    </row>
    <row r="49" spans="2:28" ht="30.75" thickBot="1">
      <c r="B49" s="64">
        <v>9</v>
      </c>
      <c r="C49" s="48" t="s">
        <v>194</v>
      </c>
      <c r="D49" s="48">
        <v>8</v>
      </c>
      <c r="E49" s="48" t="s">
        <v>188</v>
      </c>
      <c r="F49" s="48" t="s">
        <v>179</v>
      </c>
      <c r="G49" s="48">
        <v>70</v>
      </c>
      <c r="H49" s="64">
        <f>(Création!E22/10)+0.5</f>
        <v>0.8</v>
      </c>
      <c r="I49" s="64">
        <f t="shared" si="0"/>
        <v>210</v>
      </c>
      <c r="L49" s="44">
        <v>47</v>
      </c>
      <c r="M49" s="19" t="s">
        <v>110</v>
      </c>
      <c r="T49" s="89">
        <v>48</v>
      </c>
      <c r="U49" s="90"/>
      <c r="V49" s="90"/>
      <c r="X49" s="25" t="s">
        <v>263</v>
      </c>
      <c r="Z49" s="40" t="s">
        <v>387</v>
      </c>
      <c r="AA49" s="41" t="s">
        <v>236</v>
      </c>
      <c r="AB49" s="97"/>
    </row>
    <row r="50" spans="2:30" s="45" customFormat="1" ht="30.75" thickBot="1">
      <c r="B50" s="64">
        <v>10</v>
      </c>
      <c r="C50" s="48" t="s">
        <v>195</v>
      </c>
      <c r="D50" s="48">
        <v>9</v>
      </c>
      <c r="E50" s="48" t="s">
        <v>189</v>
      </c>
      <c r="F50" s="48" t="s">
        <v>179</v>
      </c>
      <c r="G50" s="48">
        <v>140</v>
      </c>
      <c r="H50" s="64">
        <f>(Création!E22/10)+0.6</f>
        <v>0.8999999999999999</v>
      </c>
      <c r="I50" s="64">
        <f t="shared" si="0"/>
        <v>420</v>
      </c>
      <c r="J50"/>
      <c r="K50"/>
      <c r="L50" s="44">
        <v>48</v>
      </c>
      <c r="M50" s="19" t="s">
        <v>112</v>
      </c>
      <c r="T50" s="89">
        <v>49</v>
      </c>
      <c r="U50" s="91"/>
      <c r="V50" s="91"/>
      <c r="X50" s="25" t="s">
        <v>264</v>
      </c>
      <c r="Z50" s="40" t="s">
        <v>388</v>
      </c>
      <c r="AA50" s="41" t="s">
        <v>238</v>
      </c>
      <c r="AB50" s="97"/>
      <c r="AC50"/>
      <c r="AD50"/>
    </row>
    <row r="51" spans="2:28" ht="30.75" thickBot="1">
      <c r="B51" s="64">
        <v>11</v>
      </c>
      <c r="C51" s="48" t="s">
        <v>196</v>
      </c>
      <c r="D51" s="48">
        <v>10</v>
      </c>
      <c r="E51" s="48" t="s">
        <v>190</v>
      </c>
      <c r="F51" s="48" t="s">
        <v>184</v>
      </c>
      <c r="G51" s="48">
        <v>280</v>
      </c>
      <c r="H51" s="64">
        <f>(Création!E22/10)+0.7</f>
        <v>1</v>
      </c>
      <c r="I51" s="64">
        <f t="shared" si="0"/>
        <v>840</v>
      </c>
      <c r="K51" s="45"/>
      <c r="L51" s="44">
        <v>49</v>
      </c>
      <c r="M51" s="19" t="s">
        <v>114</v>
      </c>
      <c r="T51" s="89">
        <v>50</v>
      </c>
      <c r="U51" s="90"/>
      <c r="V51" s="90"/>
      <c r="X51" s="25" t="s">
        <v>265</v>
      </c>
      <c r="Z51" s="40" t="s">
        <v>389</v>
      </c>
      <c r="AA51" s="41" t="s">
        <v>236</v>
      </c>
      <c r="AB51" s="97"/>
    </row>
    <row r="52" spans="2:28" ht="30.75" thickBot="1">
      <c r="B52" s="45"/>
      <c r="C52" s="47" t="s">
        <v>412</v>
      </c>
      <c r="D52" s="46"/>
      <c r="E52" s="46"/>
      <c r="F52" s="46"/>
      <c r="G52" s="45"/>
      <c r="H52" s="45"/>
      <c r="I52" s="45"/>
      <c r="J52" s="45"/>
      <c r="L52" s="44">
        <v>50</v>
      </c>
      <c r="M52" s="19" t="s">
        <v>116</v>
      </c>
      <c r="X52" s="1" t="s">
        <v>266</v>
      </c>
      <c r="Z52" s="40" t="s">
        <v>390</v>
      </c>
      <c r="AA52" s="41" t="s">
        <v>238</v>
      </c>
      <c r="AB52" s="97"/>
    </row>
    <row r="53" spans="3:28" ht="16.5" thickBot="1">
      <c r="C53" t="s">
        <v>415</v>
      </c>
      <c r="L53" s="44"/>
      <c r="M53" s="19"/>
      <c r="X53" s="25" t="s">
        <v>234</v>
      </c>
      <c r="Z53" s="40" t="s">
        <v>391</v>
      </c>
      <c r="AA53" s="41" t="s">
        <v>236</v>
      </c>
      <c r="AB53" s="97"/>
    </row>
    <row r="54" spans="12:28" ht="16.5" thickBot="1">
      <c r="L54" s="44"/>
      <c r="M54" s="19"/>
      <c r="X54" s="25" t="s">
        <v>240</v>
      </c>
      <c r="Z54" s="40" t="s">
        <v>392</v>
      </c>
      <c r="AA54" s="41" t="s">
        <v>238</v>
      </c>
      <c r="AB54" s="97"/>
    </row>
    <row r="55" spans="12:28" ht="16.5" thickBot="1">
      <c r="L55" s="44"/>
      <c r="M55" s="19"/>
      <c r="X55" s="25" t="s">
        <v>241</v>
      </c>
      <c r="Z55" s="40" t="s">
        <v>393</v>
      </c>
      <c r="AA55" s="41" t="s">
        <v>238</v>
      </c>
      <c r="AB55" s="97"/>
    </row>
    <row r="56" spans="12:28" ht="16.5" thickBot="1">
      <c r="L56" s="44"/>
      <c r="M56" s="19"/>
      <c r="X56" s="25" t="s">
        <v>242</v>
      </c>
      <c r="Z56" s="40" t="s">
        <v>394</v>
      </c>
      <c r="AA56" s="41" t="s">
        <v>238</v>
      </c>
      <c r="AB56" s="97"/>
    </row>
    <row r="57" spans="12:28" ht="16.5" thickBot="1">
      <c r="L57" s="44"/>
      <c r="M57" s="19"/>
      <c r="X57" s="25" t="s">
        <v>267</v>
      </c>
      <c r="Z57" s="40" t="s">
        <v>395</v>
      </c>
      <c r="AA57" s="41" t="s">
        <v>238</v>
      </c>
      <c r="AB57" s="97"/>
    </row>
    <row r="58" spans="3:28" ht="16.5" thickBot="1">
      <c r="C58" s="29" t="s">
        <v>197</v>
      </c>
      <c r="D58" s="29" t="s">
        <v>127</v>
      </c>
      <c r="E58" s="29" t="s">
        <v>198</v>
      </c>
      <c r="L58" s="44"/>
      <c r="M58" s="21"/>
      <c r="X58" s="1" t="s">
        <v>268</v>
      </c>
      <c r="Z58" s="40" t="s">
        <v>396</v>
      </c>
      <c r="AA58" s="41" t="s">
        <v>238</v>
      </c>
      <c r="AB58" s="97"/>
    </row>
    <row r="59" spans="3:24" ht="15.75" thickTop="1">
      <c r="C59" s="30" t="s">
        <v>199</v>
      </c>
      <c r="D59" s="31">
        <v>0</v>
      </c>
      <c r="E59" s="31" t="s">
        <v>200</v>
      </c>
      <c r="X59" s="25" t="s">
        <v>236</v>
      </c>
    </row>
    <row r="60" spans="3:24" ht="15.75">
      <c r="C60" s="30" t="s">
        <v>202</v>
      </c>
      <c r="D60" s="31">
        <v>0</v>
      </c>
      <c r="E60" s="30" t="s">
        <v>201</v>
      </c>
      <c r="X60" s="1" t="s">
        <v>269</v>
      </c>
    </row>
    <row r="61" spans="3:24" ht="15">
      <c r="C61" s="30"/>
      <c r="D61" s="31"/>
      <c r="E61" s="32"/>
      <c r="X61" s="25" t="s">
        <v>236</v>
      </c>
    </row>
    <row r="62" spans="3:24" ht="15">
      <c r="C62" s="33" t="s">
        <v>203</v>
      </c>
      <c r="D62" s="34">
        <v>0</v>
      </c>
      <c r="E62" s="34" t="s">
        <v>204</v>
      </c>
      <c r="X62" s="25" t="s">
        <v>270</v>
      </c>
    </row>
    <row r="63" spans="3:24" ht="15.75">
      <c r="C63" s="33" t="s">
        <v>206</v>
      </c>
      <c r="D63" s="34">
        <v>0</v>
      </c>
      <c r="E63" s="33" t="s">
        <v>205</v>
      </c>
      <c r="X63" s="1" t="s">
        <v>271</v>
      </c>
    </row>
    <row r="64" spans="3:24" ht="15">
      <c r="C64" s="30" t="s">
        <v>207</v>
      </c>
      <c r="D64" s="31">
        <v>0</v>
      </c>
      <c r="E64" s="31" t="s">
        <v>208</v>
      </c>
      <c r="X64" s="25" t="s">
        <v>238</v>
      </c>
    </row>
    <row r="65" spans="3:24" ht="15.75">
      <c r="C65" s="30" t="s">
        <v>209</v>
      </c>
      <c r="D65" s="31">
        <v>0</v>
      </c>
      <c r="E65" s="30" t="s">
        <v>201</v>
      </c>
      <c r="X65" s="1" t="s">
        <v>272</v>
      </c>
    </row>
    <row r="66" spans="3:24" ht="15.75">
      <c r="C66" s="33" t="s">
        <v>210</v>
      </c>
      <c r="D66" s="34">
        <v>0</v>
      </c>
      <c r="E66" s="34" t="s">
        <v>211</v>
      </c>
      <c r="X66" s="1" t="s">
        <v>273</v>
      </c>
    </row>
    <row r="67" spans="3:24" ht="15">
      <c r="C67" s="33" t="s">
        <v>212</v>
      </c>
      <c r="D67" s="34">
        <v>0</v>
      </c>
      <c r="E67" s="33" t="s">
        <v>201</v>
      </c>
      <c r="X67" s="25" t="s">
        <v>274</v>
      </c>
    </row>
    <row r="68" spans="3:24" ht="15">
      <c r="C68" s="30" t="s">
        <v>213</v>
      </c>
      <c r="D68" s="31">
        <v>0</v>
      </c>
      <c r="E68" s="31" t="s">
        <v>214</v>
      </c>
      <c r="X68" s="25" t="s">
        <v>275</v>
      </c>
    </row>
    <row r="69" spans="3:24" ht="15.75">
      <c r="C69" s="30" t="s">
        <v>216</v>
      </c>
      <c r="D69" s="31">
        <v>0</v>
      </c>
      <c r="E69" s="30" t="s">
        <v>215</v>
      </c>
      <c r="X69" s="1" t="s">
        <v>276</v>
      </c>
    </row>
    <row r="70" spans="3:24" ht="25.5">
      <c r="C70" s="33" t="s">
        <v>217</v>
      </c>
      <c r="D70" s="34">
        <v>0</v>
      </c>
      <c r="E70" s="34" t="s">
        <v>218</v>
      </c>
      <c r="X70" s="25" t="s">
        <v>236</v>
      </c>
    </row>
    <row r="71" spans="3:24" ht="15.75">
      <c r="C71" s="33" t="s">
        <v>219</v>
      </c>
      <c r="D71" s="34">
        <v>0</v>
      </c>
      <c r="E71" s="33" t="s">
        <v>215</v>
      </c>
      <c r="X71" s="1" t="s">
        <v>277</v>
      </c>
    </row>
    <row r="72" spans="3:24" ht="25.5">
      <c r="C72" s="30" t="s">
        <v>220</v>
      </c>
      <c r="D72" s="31">
        <v>0</v>
      </c>
      <c r="E72" s="31" t="s">
        <v>221</v>
      </c>
      <c r="X72" s="25" t="s">
        <v>236</v>
      </c>
    </row>
    <row r="73" spans="3:24" ht="15.75">
      <c r="C73" s="35" t="s">
        <v>222</v>
      </c>
      <c r="D73" s="36">
        <v>0</v>
      </c>
      <c r="E73" s="30" t="s">
        <v>215</v>
      </c>
      <c r="X73" s="1" t="s">
        <v>278</v>
      </c>
    </row>
    <row r="74" ht="15">
      <c r="X74" s="25" t="s">
        <v>279</v>
      </c>
    </row>
    <row r="75" ht="15">
      <c r="X75" s="25" t="s">
        <v>280</v>
      </c>
    </row>
    <row r="76" ht="15.75" thickBot="1">
      <c r="X76" s="25" t="s">
        <v>281</v>
      </c>
    </row>
    <row r="77" spans="3:24" ht="16.5" thickTop="1">
      <c r="C77" s="22" t="s">
        <v>341</v>
      </c>
      <c r="D77" s="23" t="s">
        <v>4</v>
      </c>
      <c r="E77" s="23" t="s">
        <v>126</v>
      </c>
      <c r="F77" s="23" t="s">
        <v>127</v>
      </c>
      <c r="G77" s="23" t="s">
        <v>398</v>
      </c>
      <c r="H77" s="23" t="s">
        <v>399</v>
      </c>
      <c r="I77" s="23" t="s">
        <v>400</v>
      </c>
      <c r="J77" s="18" t="s">
        <v>128</v>
      </c>
      <c r="X77" s="1" t="s">
        <v>282</v>
      </c>
    </row>
    <row r="78" spans="2:24" ht="15">
      <c r="B78" s="49">
        <v>1</v>
      </c>
      <c r="C78" s="44" t="s">
        <v>401</v>
      </c>
      <c r="D78" s="44">
        <v>5</v>
      </c>
      <c r="E78" s="44" t="s">
        <v>131</v>
      </c>
      <c r="F78" s="44">
        <v>6</v>
      </c>
      <c r="G78" s="44">
        <v>1</v>
      </c>
      <c r="H78" s="44" t="s">
        <v>402</v>
      </c>
      <c r="I78" s="44">
        <v>1</v>
      </c>
      <c r="J78" s="286">
        <v>0.5</v>
      </c>
      <c r="K78" s="49"/>
      <c r="X78" s="25" t="s">
        <v>238</v>
      </c>
    </row>
    <row r="79" spans="2:24" ht="15.75">
      <c r="B79" s="49">
        <v>2</v>
      </c>
      <c r="C79" s="44" t="s">
        <v>403</v>
      </c>
      <c r="D79" s="44">
        <v>7</v>
      </c>
      <c r="E79" s="44" t="s">
        <v>150</v>
      </c>
      <c r="F79" s="44">
        <v>7</v>
      </c>
      <c r="G79" s="44">
        <v>1</v>
      </c>
      <c r="H79" s="44" t="s">
        <v>404</v>
      </c>
      <c r="I79" s="44">
        <v>1</v>
      </c>
      <c r="J79" s="286">
        <v>1</v>
      </c>
      <c r="K79" s="49"/>
      <c r="X79" s="1" t="s">
        <v>283</v>
      </c>
    </row>
    <row r="80" spans="2:24" ht="15">
      <c r="B80" s="49">
        <v>3</v>
      </c>
      <c r="C80" s="44" t="s">
        <v>405</v>
      </c>
      <c r="D80" s="44">
        <v>6</v>
      </c>
      <c r="E80" s="44" t="s">
        <v>137</v>
      </c>
      <c r="F80" s="44">
        <v>6</v>
      </c>
      <c r="G80" s="44">
        <v>1</v>
      </c>
      <c r="H80" s="44" t="s">
        <v>406</v>
      </c>
      <c r="I80" s="44">
        <v>1</v>
      </c>
      <c r="J80" s="286">
        <v>1</v>
      </c>
      <c r="K80" s="49"/>
      <c r="X80" s="25" t="s">
        <v>236</v>
      </c>
    </row>
    <row r="81" spans="2:24" ht="15">
      <c r="B81" s="49">
        <v>4</v>
      </c>
      <c r="C81" s="44" t="s">
        <v>371</v>
      </c>
      <c r="D81" s="44">
        <v>4</v>
      </c>
      <c r="E81" s="44" t="s">
        <v>131</v>
      </c>
      <c r="F81" s="44">
        <v>4</v>
      </c>
      <c r="G81" s="44" t="s">
        <v>408</v>
      </c>
      <c r="H81" s="44" t="s">
        <v>404</v>
      </c>
      <c r="I81" s="44">
        <v>1</v>
      </c>
      <c r="J81" s="286">
        <v>0.5</v>
      </c>
      <c r="K81" s="49"/>
      <c r="X81" s="25" t="s">
        <v>284</v>
      </c>
    </row>
    <row r="82" spans="2:24" ht="15.75">
      <c r="B82" s="49">
        <v>5</v>
      </c>
      <c r="C82" s="44" t="s">
        <v>134</v>
      </c>
      <c r="D82" s="44">
        <v>2</v>
      </c>
      <c r="E82" s="44" t="s">
        <v>131</v>
      </c>
      <c r="F82" s="44">
        <v>6</v>
      </c>
      <c r="G82" s="44">
        <v>2</v>
      </c>
      <c r="H82" s="280">
        <v>40456</v>
      </c>
      <c r="I82" s="44" t="s">
        <v>407</v>
      </c>
      <c r="J82" s="286">
        <v>0.2</v>
      </c>
      <c r="K82" s="49"/>
      <c r="X82" s="1" t="s">
        <v>285</v>
      </c>
    </row>
    <row r="83" spans="2:24" ht="15">
      <c r="B83" s="49">
        <v>6</v>
      </c>
      <c r="C83" s="44" t="s">
        <v>135</v>
      </c>
      <c r="D83" s="44">
        <v>2</v>
      </c>
      <c r="E83" s="44" t="s">
        <v>132</v>
      </c>
      <c r="F83" s="44">
        <v>8</v>
      </c>
      <c r="G83" s="44">
        <v>2</v>
      </c>
      <c r="H83" s="280">
        <v>40456</v>
      </c>
      <c r="I83" s="44" t="s">
        <v>407</v>
      </c>
      <c r="J83" s="286">
        <v>0.5</v>
      </c>
      <c r="K83" s="49"/>
      <c r="X83" s="25" t="s">
        <v>274</v>
      </c>
    </row>
    <row r="84" spans="2:24" ht="15.75">
      <c r="B84" s="49">
        <v>7</v>
      </c>
      <c r="C84" s="44" t="s">
        <v>149</v>
      </c>
      <c r="D84" s="44">
        <v>4</v>
      </c>
      <c r="E84" s="44" t="s">
        <v>150</v>
      </c>
      <c r="F84" s="44">
        <v>6</v>
      </c>
      <c r="G84" s="44">
        <v>1</v>
      </c>
      <c r="H84" s="280">
        <v>40456</v>
      </c>
      <c r="I84" s="44" t="s">
        <v>407</v>
      </c>
      <c r="J84" s="286">
        <v>0.5</v>
      </c>
      <c r="K84" s="49"/>
      <c r="X84" s="1" t="s">
        <v>286</v>
      </c>
    </row>
    <row r="85" spans="2:24" ht="15">
      <c r="B85" s="49">
        <v>8</v>
      </c>
      <c r="C85" s="44" t="s">
        <v>159</v>
      </c>
      <c r="D85" s="44">
        <v>4</v>
      </c>
      <c r="E85" s="44" t="s">
        <v>137</v>
      </c>
      <c r="F85" s="44">
        <v>10</v>
      </c>
      <c r="G85" s="44">
        <v>1</v>
      </c>
      <c r="H85" s="44" t="s">
        <v>409</v>
      </c>
      <c r="I85" s="44" t="s">
        <v>407</v>
      </c>
      <c r="J85" s="286">
        <v>1.5</v>
      </c>
      <c r="K85" s="49"/>
      <c r="X85" s="25" t="s">
        <v>238</v>
      </c>
    </row>
    <row r="86" spans="2:24" ht="15.75">
      <c r="B86" s="49">
        <v>9</v>
      </c>
      <c r="C86" s="44" t="s">
        <v>160</v>
      </c>
      <c r="D86" s="44">
        <v>4</v>
      </c>
      <c r="E86" s="44" t="s">
        <v>139</v>
      </c>
      <c r="F86" s="44">
        <v>10</v>
      </c>
      <c r="G86" s="44">
        <v>1</v>
      </c>
      <c r="H86" s="44" t="s">
        <v>410</v>
      </c>
      <c r="I86" s="44" t="s">
        <v>407</v>
      </c>
      <c r="J86" s="286">
        <v>1.5</v>
      </c>
      <c r="K86" s="49"/>
      <c r="X86" s="1" t="s">
        <v>287</v>
      </c>
    </row>
    <row r="87" spans="2:24" ht="15">
      <c r="B87" s="49">
        <v>10</v>
      </c>
      <c r="C87" s="44" t="s">
        <v>681</v>
      </c>
      <c r="D87" s="44" t="s">
        <v>407</v>
      </c>
      <c r="E87" s="44" t="s">
        <v>411</v>
      </c>
      <c r="F87" s="44">
        <v>3</v>
      </c>
      <c r="G87" s="44" t="s">
        <v>408</v>
      </c>
      <c r="H87" s="44">
        <f>5/10</f>
        <v>0.5</v>
      </c>
      <c r="I87" s="44" t="s">
        <v>407</v>
      </c>
      <c r="J87" s="286">
        <v>0.2</v>
      </c>
      <c r="K87" s="49"/>
      <c r="X87" s="25" t="s">
        <v>234</v>
      </c>
    </row>
    <row r="88" spans="2:24" ht="15">
      <c r="B88" s="49">
        <v>11</v>
      </c>
      <c r="C88" s="44"/>
      <c r="D88" s="44"/>
      <c r="E88" s="44"/>
      <c r="F88" s="44"/>
      <c r="G88" s="44"/>
      <c r="H88" s="44"/>
      <c r="I88" s="44"/>
      <c r="J88" s="286"/>
      <c r="K88" s="49"/>
      <c r="X88" s="25" t="s">
        <v>229</v>
      </c>
    </row>
    <row r="89" spans="2:24" ht="15">
      <c r="B89" s="49">
        <v>12</v>
      </c>
      <c r="C89" s="43" t="s">
        <v>652</v>
      </c>
      <c r="D89" s="44" t="s">
        <v>407</v>
      </c>
      <c r="E89" s="44" t="s">
        <v>407</v>
      </c>
      <c r="F89" s="44" t="s">
        <v>407</v>
      </c>
      <c r="G89" s="44" t="s">
        <v>407</v>
      </c>
      <c r="H89" s="44" t="s">
        <v>407</v>
      </c>
      <c r="I89" s="44" t="s">
        <v>407</v>
      </c>
      <c r="J89" s="287">
        <v>0</v>
      </c>
      <c r="K89" s="49"/>
      <c r="X89" s="25" t="s">
        <v>230</v>
      </c>
    </row>
    <row r="90" ht="15.75">
      <c r="X90" s="1" t="s">
        <v>288</v>
      </c>
    </row>
    <row r="91" ht="15">
      <c r="X91" s="25" t="s">
        <v>234</v>
      </c>
    </row>
    <row r="92" ht="15">
      <c r="X92" s="25" t="s">
        <v>289</v>
      </c>
    </row>
    <row r="93" ht="15.75">
      <c r="X93" s="1" t="s">
        <v>290</v>
      </c>
    </row>
    <row r="94" ht="15">
      <c r="X94" s="25" t="s">
        <v>238</v>
      </c>
    </row>
    <row r="95" ht="15">
      <c r="X95" s="25" t="s">
        <v>291</v>
      </c>
    </row>
    <row r="96" ht="15.75">
      <c r="X96" s="1" t="s">
        <v>292</v>
      </c>
    </row>
    <row r="97" ht="15">
      <c r="X97" s="25" t="s">
        <v>234</v>
      </c>
    </row>
    <row r="98" ht="15">
      <c r="X98" s="25" t="s">
        <v>229</v>
      </c>
    </row>
    <row r="99" ht="15">
      <c r="X99" s="25" t="s">
        <v>230</v>
      </c>
    </row>
    <row r="100" ht="15.75">
      <c r="X100" s="1" t="s">
        <v>293</v>
      </c>
    </row>
    <row r="101" ht="15">
      <c r="X101" s="25" t="s">
        <v>238</v>
      </c>
    </row>
    <row r="102" ht="15.75">
      <c r="X102" s="1" t="s">
        <v>294</v>
      </c>
    </row>
    <row r="103" ht="15">
      <c r="X103" s="25" t="s">
        <v>238</v>
      </c>
    </row>
    <row r="104" ht="15">
      <c r="X104" s="25" t="s">
        <v>295</v>
      </c>
    </row>
    <row r="105" ht="15.75">
      <c r="X105" s="1" t="s">
        <v>296</v>
      </c>
    </row>
    <row r="106" ht="15">
      <c r="X106" s="25" t="s">
        <v>267</v>
      </c>
    </row>
    <row r="107" ht="15.75">
      <c r="X107" s="1" t="s">
        <v>297</v>
      </c>
    </row>
    <row r="108" ht="15">
      <c r="X108" s="25" t="s">
        <v>236</v>
      </c>
    </row>
    <row r="109" ht="15">
      <c r="X109" s="25" t="s">
        <v>298</v>
      </c>
    </row>
    <row r="110" ht="15.75">
      <c r="X110" s="1" t="s">
        <v>299</v>
      </c>
    </row>
    <row r="111" ht="15">
      <c r="X111" s="25" t="s">
        <v>236</v>
      </c>
    </row>
    <row r="112" ht="15">
      <c r="X112" s="25" t="s">
        <v>270</v>
      </c>
    </row>
    <row r="113" ht="15.75">
      <c r="X113" s="1" t="s">
        <v>300</v>
      </c>
    </row>
    <row r="114" ht="15">
      <c r="X114" s="25" t="s">
        <v>301</v>
      </c>
    </row>
    <row r="115" ht="15">
      <c r="X115" s="25" t="s">
        <v>302</v>
      </c>
    </row>
    <row r="116" ht="15.75">
      <c r="X116" s="1" t="s">
        <v>303</v>
      </c>
    </row>
    <row r="117" ht="15">
      <c r="X117" s="25" t="s">
        <v>236</v>
      </c>
    </row>
    <row r="118" ht="15">
      <c r="X118" s="25" t="s">
        <v>304</v>
      </c>
    </row>
    <row r="119" ht="15.75">
      <c r="X119" s="1" t="s">
        <v>305</v>
      </c>
    </row>
    <row r="120" ht="15.75">
      <c r="X120" s="1" t="s">
        <v>306</v>
      </c>
    </row>
    <row r="121" ht="15">
      <c r="X121" s="25" t="s">
        <v>274</v>
      </c>
    </row>
    <row r="122" ht="15.75">
      <c r="X122" s="1" t="s">
        <v>307</v>
      </c>
    </row>
    <row r="123" ht="15">
      <c r="X123" s="25" t="s">
        <v>236</v>
      </c>
    </row>
    <row r="124" ht="15.75">
      <c r="X124" s="1" t="s">
        <v>308</v>
      </c>
    </row>
    <row r="125" ht="15.75">
      <c r="X125" s="1" t="s">
        <v>309</v>
      </c>
    </row>
    <row r="126" spans="5:24" ht="15">
      <c r="E126" t="s">
        <v>16</v>
      </c>
      <c r="F126" s="2" t="s">
        <v>17</v>
      </c>
      <c r="X126" s="25" t="s">
        <v>238</v>
      </c>
    </row>
    <row r="127" spans="3:24" ht="15.75">
      <c r="C127" s="49">
        <v>1</v>
      </c>
      <c r="D127" s="40" t="s">
        <v>477</v>
      </c>
      <c r="E127" s="43">
        <v>70</v>
      </c>
      <c r="F127" s="2"/>
      <c r="X127" s="1" t="s">
        <v>310</v>
      </c>
    </row>
    <row r="128" spans="3:24" ht="15.75">
      <c r="C128" s="49">
        <v>2</v>
      </c>
      <c r="D128" s="40" t="s">
        <v>478</v>
      </c>
      <c r="E128" s="43">
        <v>55</v>
      </c>
      <c r="G128" s="2" t="s">
        <v>18</v>
      </c>
      <c r="X128" s="25" t="s">
        <v>234</v>
      </c>
    </row>
    <row r="129" spans="3:24" ht="15.75">
      <c r="C129" s="49">
        <v>3</v>
      </c>
      <c r="D129" s="40" t="s">
        <v>479</v>
      </c>
      <c r="E129" s="43">
        <v>55</v>
      </c>
      <c r="G129" s="2">
        <v>55</v>
      </c>
      <c r="X129" s="1" t="s">
        <v>311</v>
      </c>
    </row>
    <row r="130" spans="3:24" ht="15.75">
      <c r="C130" s="49">
        <v>4</v>
      </c>
      <c r="D130" s="40" t="s">
        <v>397</v>
      </c>
      <c r="E130" s="43">
        <v>70</v>
      </c>
      <c r="X130" s="25" t="s">
        <v>312</v>
      </c>
    </row>
    <row r="131" spans="6:24" ht="15.75">
      <c r="F131" s="2"/>
      <c r="X131" s="1" t="s">
        <v>313</v>
      </c>
    </row>
    <row r="132" ht="15">
      <c r="X132" s="25" t="s">
        <v>236</v>
      </c>
    </row>
    <row r="133" spans="5:24" ht="15.75">
      <c r="E133" s="66" t="s">
        <v>477</v>
      </c>
      <c r="F133" s="53" t="s">
        <v>478</v>
      </c>
      <c r="G133" s="53" t="s">
        <v>479</v>
      </c>
      <c r="H133" s="53" t="s">
        <v>397</v>
      </c>
      <c r="X133" s="1" t="s">
        <v>314</v>
      </c>
    </row>
    <row r="134" spans="3:24" ht="15">
      <c r="C134" s="49">
        <v>1</v>
      </c>
      <c r="D134" s="132" t="s">
        <v>19</v>
      </c>
      <c r="E134" s="43">
        <f>Création!E19+5</f>
        <v>9</v>
      </c>
      <c r="F134" s="49">
        <v>45</v>
      </c>
      <c r="G134" s="49">
        <v>55</v>
      </c>
      <c r="H134" s="43">
        <f>Création!E19+15</f>
        <v>19</v>
      </c>
      <c r="I134" s="49">
        <v>1</v>
      </c>
      <c r="J134" s="49">
        <f>VLOOKUP(Création!B9,Données!C134:H137,3)</f>
        <v>9</v>
      </c>
      <c r="X134" s="25" t="s">
        <v>238</v>
      </c>
    </row>
    <row r="135" spans="3:24" ht="15.75">
      <c r="C135" s="49">
        <v>2</v>
      </c>
      <c r="D135" s="132" t="s">
        <v>20</v>
      </c>
      <c r="E135" s="43">
        <f>Création!E19+5</f>
        <v>9</v>
      </c>
      <c r="F135" s="49">
        <v>45</v>
      </c>
      <c r="G135" s="49">
        <v>55</v>
      </c>
      <c r="H135" s="43">
        <f>Création!E19+15</f>
        <v>19</v>
      </c>
      <c r="I135" s="49">
        <v>2</v>
      </c>
      <c r="J135" s="49">
        <f>VLOOKUP(Création!B9,Données!C134:H137,4)</f>
        <v>45</v>
      </c>
      <c r="X135" s="1" t="s">
        <v>315</v>
      </c>
    </row>
    <row r="136" spans="3:24" ht="15">
      <c r="C136" s="49">
        <v>3</v>
      </c>
      <c r="D136" s="132" t="s">
        <v>21</v>
      </c>
      <c r="E136" s="43">
        <f>Création!E19+5</f>
        <v>9</v>
      </c>
      <c r="F136" s="49">
        <v>45</v>
      </c>
      <c r="G136" s="49">
        <v>55</v>
      </c>
      <c r="H136" s="43">
        <f>Création!E19+15</f>
        <v>19</v>
      </c>
      <c r="I136" s="49">
        <v>3</v>
      </c>
      <c r="J136" s="49">
        <f>VLOOKUP(Création!B9,Données!C134:H137,5)</f>
        <v>55</v>
      </c>
      <c r="X136" s="25" t="s">
        <v>236</v>
      </c>
    </row>
    <row r="137" spans="3:24" ht="15">
      <c r="C137" s="49">
        <v>4</v>
      </c>
      <c r="D137" s="132" t="s">
        <v>22</v>
      </c>
      <c r="E137" s="43">
        <f>Création!E19+10</f>
        <v>14</v>
      </c>
      <c r="F137" s="49">
        <v>50</v>
      </c>
      <c r="G137" s="49">
        <v>55</v>
      </c>
      <c r="H137" s="43">
        <f>Création!E19+15</f>
        <v>19</v>
      </c>
      <c r="I137" s="49">
        <v>4</v>
      </c>
      <c r="J137" s="49">
        <f>VLOOKUP(Création!B9,Données!C134:H137,6)</f>
        <v>19</v>
      </c>
      <c r="X137" s="25" t="s">
        <v>316</v>
      </c>
    </row>
    <row r="138" spans="6:24" ht="15.75" thickBot="1">
      <c r="F138" t="s">
        <v>628</v>
      </c>
      <c r="G138" t="s">
        <v>629</v>
      </c>
      <c r="H138" t="s">
        <v>630</v>
      </c>
      <c r="X138" s="25" t="s">
        <v>317</v>
      </c>
    </row>
    <row r="139" spans="3:24" ht="16.5" thickBot="1">
      <c r="C139" s="43">
        <v>1</v>
      </c>
      <c r="D139" s="69" t="s">
        <v>493</v>
      </c>
      <c r="E139" s="325" t="s">
        <v>495</v>
      </c>
      <c r="F139" s="43">
        <v>9</v>
      </c>
      <c r="G139" s="43">
        <v>20</v>
      </c>
      <c r="H139" s="43">
        <v>26</v>
      </c>
      <c r="X139" s="25" t="s">
        <v>318</v>
      </c>
    </row>
    <row r="140" spans="3:24" ht="16.5" thickBot="1">
      <c r="C140" s="43">
        <v>2</v>
      </c>
      <c r="D140" s="5" t="s">
        <v>36</v>
      </c>
      <c r="E140" s="323"/>
      <c r="F140" s="43">
        <v>9</v>
      </c>
      <c r="G140" s="43">
        <v>20</v>
      </c>
      <c r="H140" s="43">
        <v>26</v>
      </c>
      <c r="X140" s="25" t="s">
        <v>319</v>
      </c>
    </row>
    <row r="141" spans="3:24" ht="16.5" thickBot="1">
      <c r="C141" s="43">
        <v>3</v>
      </c>
      <c r="D141" s="5" t="s">
        <v>38</v>
      </c>
      <c r="E141" s="323"/>
      <c r="F141" s="43">
        <v>9</v>
      </c>
      <c r="G141" s="43">
        <v>20</v>
      </c>
      <c r="H141" s="43">
        <v>26</v>
      </c>
      <c r="X141" s="1" t="s">
        <v>320</v>
      </c>
    </row>
    <row r="142" spans="3:24" ht="16.5" thickBot="1">
      <c r="C142" s="43">
        <v>4</v>
      </c>
      <c r="D142" s="5" t="s">
        <v>40</v>
      </c>
      <c r="E142" s="323"/>
      <c r="F142" s="43">
        <v>9</v>
      </c>
      <c r="G142" s="43">
        <v>20</v>
      </c>
      <c r="H142" s="43">
        <v>26</v>
      </c>
      <c r="X142" s="25" t="s">
        <v>238</v>
      </c>
    </row>
    <row r="143" spans="3:24" ht="16.5" thickBot="1">
      <c r="C143" s="43">
        <v>5</v>
      </c>
      <c r="D143" s="7" t="s">
        <v>42</v>
      </c>
      <c r="E143" s="323"/>
      <c r="F143" s="43">
        <v>9</v>
      </c>
      <c r="G143" s="43">
        <v>20</v>
      </c>
      <c r="H143" s="43">
        <v>26</v>
      </c>
      <c r="X143" s="1" t="s">
        <v>321</v>
      </c>
    </row>
    <row r="144" spans="3:24" ht="17.25" thickBot="1" thickTop="1">
      <c r="C144" s="43">
        <v>6</v>
      </c>
      <c r="D144" s="5" t="s">
        <v>44</v>
      </c>
      <c r="E144" s="323" t="s">
        <v>496</v>
      </c>
      <c r="F144" s="43">
        <v>9</v>
      </c>
      <c r="G144" s="43">
        <v>20</v>
      </c>
      <c r="H144" s="43">
        <v>26</v>
      </c>
      <c r="X144" s="25" t="s">
        <v>236</v>
      </c>
    </row>
    <row r="145" spans="3:24" ht="16.5" thickBot="1">
      <c r="C145" s="43">
        <v>7</v>
      </c>
      <c r="D145" s="5" t="s">
        <v>45</v>
      </c>
      <c r="E145" s="323"/>
      <c r="F145" s="43">
        <v>9</v>
      </c>
      <c r="G145" s="43">
        <v>20</v>
      </c>
      <c r="H145" s="43">
        <v>26</v>
      </c>
      <c r="X145" s="25" t="s">
        <v>322</v>
      </c>
    </row>
    <row r="146" spans="3:24" ht="16.5" thickBot="1">
      <c r="C146" s="43">
        <v>8</v>
      </c>
      <c r="D146" s="5" t="s">
        <v>47</v>
      </c>
      <c r="E146" s="323"/>
      <c r="F146" s="43">
        <v>9</v>
      </c>
      <c r="G146" s="43">
        <v>20</v>
      </c>
      <c r="H146" s="43">
        <v>26</v>
      </c>
      <c r="X146" s="25" t="s">
        <v>323</v>
      </c>
    </row>
    <row r="147" spans="3:24" ht="16.5" thickBot="1">
      <c r="C147" s="43">
        <v>9</v>
      </c>
      <c r="D147" s="7" t="s">
        <v>49</v>
      </c>
      <c r="E147" s="323"/>
      <c r="F147" s="43">
        <v>9</v>
      </c>
      <c r="G147" s="43">
        <v>20</v>
      </c>
      <c r="H147" s="43">
        <v>26</v>
      </c>
      <c r="X147" s="25" t="s">
        <v>324</v>
      </c>
    </row>
    <row r="148" spans="3:24" ht="17.25" thickBot="1" thickTop="1">
      <c r="C148" s="43">
        <v>10</v>
      </c>
      <c r="D148" s="5" t="s">
        <v>491</v>
      </c>
      <c r="E148" s="323" t="s">
        <v>494</v>
      </c>
      <c r="F148" s="43">
        <v>13</v>
      </c>
      <c r="G148" s="43">
        <v>4</v>
      </c>
      <c r="H148" s="43">
        <v>22</v>
      </c>
      <c r="X148" s="25" t="s">
        <v>325</v>
      </c>
    </row>
    <row r="149" spans="3:24" ht="16.5" thickBot="1">
      <c r="C149" s="43">
        <v>11</v>
      </c>
      <c r="D149" s="5" t="s">
        <v>27</v>
      </c>
      <c r="E149" s="323"/>
      <c r="F149" s="43">
        <v>13</v>
      </c>
      <c r="G149" s="43">
        <v>4</v>
      </c>
      <c r="H149" s="43">
        <v>22</v>
      </c>
      <c r="X149" s="1" t="s">
        <v>326</v>
      </c>
    </row>
    <row r="150" spans="3:24" ht="16.5" thickBot="1">
      <c r="C150" s="43">
        <v>12</v>
      </c>
      <c r="D150" s="5" t="s">
        <v>29</v>
      </c>
      <c r="E150" s="323"/>
      <c r="F150" s="43">
        <v>13</v>
      </c>
      <c r="G150" s="43">
        <v>4</v>
      </c>
      <c r="H150" s="43">
        <v>22</v>
      </c>
      <c r="X150" s="25" t="s">
        <v>238</v>
      </c>
    </row>
    <row r="151" spans="3:24" ht="16.5" thickBot="1">
      <c r="C151" s="43">
        <v>13</v>
      </c>
      <c r="D151" s="7" t="s">
        <v>492</v>
      </c>
      <c r="E151" s="323"/>
      <c r="F151" s="43">
        <v>13</v>
      </c>
      <c r="G151" s="43">
        <v>4</v>
      </c>
      <c r="H151" s="43">
        <v>22</v>
      </c>
      <c r="X151" s="1" t="s">
        <v>327</v>
      </c>
    </row>
    <row r="152" spans="3:24" ht="17.25" thickBot="1" thickTop="1">
      <c r="C152" s="43">
        <v>14</v>
      </c>
      <c r="D152" s="5" t="s">
        <v>51</v>
      </c>
      <c r="E152" s="323" t="s">
        <v>497</v>
      </c>
      <c r="F152" s="43">
        <v>17</v>
      </c>
      <c r="G152" s="43">
        <v>7</v>
      </c>
      <c r="H152" s="43">
        <v>24</v>
      </c>
      <c r="X152" s="25" t="s">
        <v>238</v>
      </c>
    </row>
    <row r="153" spans="3:24" ht="16.5" thickBot="1">
      <c r="C153" s="43">
        <v>15</v>
      </c>
      <c r="D153" s="5" t="s">
        <v>52</v>
      </c>
      <c r="E153" s="323"/>
      <c r="F153" s="43">
        <v>18</v>
      </c>
      <c r="G153" s="43">
        <v>25</v>
      </c>
      <c r="H153" s="43">
        <v>10</v>
      </c>
      <c r="X153" s="25" t="s">
        <v>328</v>
      </c>
    </row>
    <row r="154" spans="3:24" ht="16.5" thickBot="1">
      <c r="C154" s="43">
        <v>16</v>
      </c>
      <c r="D154" s="5" t="s">
        <v>53</v>
      </c>
      <c r="E154" s="323"/>
      <c r="F154" s="43">
        <v>18</v>
      </c>
      <c r="G154" s="43">
        <v>25</v>
      </c>
      <c r="H154" s="43">
        <v>10</v>
      </c>
      <c r="X154" s="1" t="s">
        <v>329</v>
      </c>
    </row>
    <row r="155" spans="3:24" ht="16.5" thickBot="1">
      <c r="C155" s="43">
        <v>17</v>
      </c>
      <c r="D155" s="10" t="s">
        <v>54</v>
      </c>
      <c r="E155" s="323"/>
      <c r="F155" s="43">
        <v>15</v>
      </c>
      <c r="G155" s="43">
        <v>6</v>
      </c>
      <c r="H155" s="43">
        <v>5</v>
      </c>
      <c r="X155" s="25" t="s">
        <v>238</v>
      </c>
    </row>
    <row r="156" spans="3:24" ht="16.5" thickBot="1">
      <c r="C156" s="43">
        <v>18</v>
      </c>
      <c r="D156" s="12" t="s">
        <v>55</v>
      </c>
      <c r="E156" s="323"/>
      <c r="F156" s="43">
        <v>15</v>
      </c>
      <c r="G156" s="43">
        <v>16</v>
      </c>
      <c r="H156" s="43">
        <v>5</v>
      </c>
      <c r="X156" s="1" t="s">
        <v>330</v>
      </c>
    </row>
    <row r="157" spans="3:24" ht="17.25" thickBot="1" thickTop="1">
      <c r="C157" s="43">
        <v>19</v>
      </c>
      <c r="D157" s="5" t="s">
        <v>58</v>
      </c>
      <c r="E157" s="323" t="s">
        <v>498</v>
      </c>
      <c r="F157" s="43">
        <v>14</v>
      </c>
      <c r="G157" s="43">
        <v>2</v>
      </c>
      <c r="H157" s="43">
        <v>11</v>
      </c>
      <c r="X157" s="25" t="s">
        <v>238</v>
      </c>
    </row>
    <row r="158" spans="3:24" ht="16.5" thickBot="1">
      <c r="C158" s="43">
        <v>20</v>
      </c>
      <c r="D158" s="5" t="s">
        <v>60</v>
      </c>
      <c r="E158" s="323"/>
      <c r="F158" s="43">
        <v>14</v>
      </c>
      <c r="G158" s="43">
        <v>2</v>
      </c>
      <c r="H158" s="43">
        <v>11</v>
      </c>
      <c r="X158" s="25" t="s">
        <v>331</v>
      </c>
    </row>
    <row r="159" spans="3:24" ht="16.5" thickBot="1">
      <c r="C159" s="43">
        <v>21</v>
      </c>
      <c r="D159" s="7" t="s">
        <v>62</v>
      </c>
      <c r="E159" s="323"/>
      <c r="F159" s="43">
        <v>1</v>
      </c>
      <c r="G159" s="43">
        <v>3</v>
      </c>
      <c r="H159" s="43">
        <v>23</v>
      </c>
      <c r="X159" s="25" t="s">
        <v>332</v>
      </c>
    </row>
    <row r="160" spans="3:24" ht="17.25" thickBot="1" thickTop="1">
      <c r="C160" s="43">
        <v>22</v>
      </c>
      <c r="D160" s="5" t="s">
        <v>65</v>
      </c>
      <c r="E160" s="323" t="s">
        <v>499</v>
      </c>
      <c r="F160" s="43">
        <v>9</v>
      </c>
      <c r="G160" s="43">
        <v>20</v>
      </c>
      <c r="H160" s="43">
        <v>26</v>
      </c>
      <c r="X160" s="1" t="s">
        <v>333</v>
      </c>
    </row>
    <row r="161" spans="3:24" ht="16.5" thickBot="1">
      <c r="C161" s="43">
        <v>23</v>
      </c>
      <c r="D161" s="5" t="s">
        <v>67</v>
      </c>
      <c r="E161" s="323"/>
      <c r="F161" s="43">
        <v>19</v>
      </c>
      <c r="G161" s="43">
        <v>8</v>
      </c>
      <c r="H161" s="43">
        <v>12</v>
      </c>
      <c r="X161" s="25" t="s">
        <v>238</v>
      </c>
    </row>
    <row r="162" spans="3:24" ht="16.5" thickBot="1">
      <c r="C162" s="43">
        <v>24</v>
      </c>
      <c r="D162" s="5" t="s">
        <v>68</v>
      </c>
      <c r="E162" s="323"/>
      <c r="F162" s="43">
        <v>9</v>
      </c>
      <c r="G162" s="43">
        <v>20</v>
      </c>
      <c r="H162" s="43">
        <v>26</v>
      </c>
      <c r="X162" s="25"/>
    </row>
    <row r="163" spans="3:24" ht="16.5" thickBot="1">
      <c r="C163" s="43">
        <v>25</v>
      </c>
      <c r="D163" s="5" t="s">
        <v>70</v>
      </c>
      <c r="E163" s="323"/>
      <c r="F163" s="43">
        <v>28</v>
      </c>
      <c r="G163" s="43">
        <v>27</v>
      </c>
      <c r="H163" s="43">
        <v>21</v>
      </c>
      <c r="X163" s="15"/>
    </row>
    <row r="164" spans="3:24" ht="16.5" thickBot="1">
      <c r="C164" s="43">
        <v>26</v>
      </c>
      <c r="D164" s="5" t="s">
        <v>71</v>
      </c>
      <c r="E164" s="324"/>
      <c r="F164" s="43">
        <v>28</v>
      </c>
      <c r="G164" s="43">
        <v>27</v>
      </c>
      <c r="H164" s="43">
        <v>21</v>
      </c>
      <c r="X164" s="14" t="s">
        <v>334</v>
      </c>
    </row>
    <row r="165" ht="15.75" thickBot="1">
      <c r="X165" s="15"/>
    </row>
    <row r="166" spans="3:24" ht="15.75">
      <c r="C166">
        <f>VLOOKUP(Création!B5,C139:H164,4)</f>
        <v>17</v>
      </c>
      <c r="D166" s="54" t="str">
        <f>VLOOKUP(C166,AF3:AH36,2)</f>
        <v>Prémonition </v>
      </c>
      <c r="E166" s="56" t="str">
        <f>VLOOKUP(C166,AF3:AH36,3)</f>
        <v>Pour deux points d’Essence permet de relancer un jet de D20.</v>
      </c>
      <c r="X166" s="1" t="s">
        <v>335</v>
      </c>
    </row>
    <row r="167" spans="3:24" ht="15.75">
      <c r="C167">
        <f>VLOOKUP(Création!B5,C139:H164,5)</f>
        <v>7</v>
      </c>
      <c r="D167" s="57" t="str">
        <f>VLOOKUP(C167,AF3:AH36,2)</f>
        <v>Doigts d’or  </v>
      </c>
      <c r="E167" s="58" t="str">
        <f>VLOOKUP(C167,AF3:AH36,3)</f>
        <v>Par point d’Essence dépensé n’importe quelle compétence en Artisanat augmente d’un point pour une heure.</v>
      </c>
      <c r="X167" s="1"/>
    </row>
    <row r="168" spans="3:24" ht="16.5" thickBot="1">
      <c r="C168">
        <f>VLOOKUP(Création!B5,C139:H164,6)</f>
        <v>24</v>
      </c>
      <c r="D168" s="59" t="str">
        <f>VLOOKUP(C168,AF3:AH36,2)</f>
        <v>Sixième sens </v>
      </c>
      <c r="E168" s="60" t="str">
        <f>VLOOKUP(C168,AF3:AH36,3)</f>
        <v>En dépensant 2 points d’Essence un personnage peut savoir s’il est menacé.</v>
      </c>
      <c r="X168" s="1" t="s">
        <v>336</v>
      </c>
    </row>
    <row r="169" ht="15.75">
      <c r="X169" s="1"/>
    </row>
    <row r="170" ht="15.75">
      <c r="X170" s="1" t="s">
        <v>337</v>
      </c>
    </row>
    <row r="171" ht="15">
      <c r="X171" s="13"/>
    </row>
    <row r="172" ht="18">
      <c r="X172" s="38"/>
    </row>
    <row r="173" ht="15.75">
      <c r="X173" s="14"/>
    </row>
    <row r="174" ht="15.75">
      <c r="X174" s="14"/>
    </row>
    <row r="175" ht="15.75">
      <c r="X175" s="39"/>
    </row>
    <row r="176" ht="13.5" thickBot="1">
      <c r="X176" s="26"/>
    </row>
    <row r="177" ht="12.75">
      <c r="X177" s="27"/>
    </row>
    <row r="178" ht="12.75">
      <c r="X178" s="27"/>
    </row>
    <row r="179" ht="12.75">
      <c r="X179" s="317"/>
    </row>
    <row r="180" ht="13.5" thickBot="1">
      <c r="X180" s="318"/>
    </row>
    <row r="181" ht="12.75">
      <c r="X181" s="28"/>
    </row>
    <row r="182" ht="12.75">
      <c r="X182" s="321"/>
    </row>
    <row r="183" ht="13.5" thickBot="1">
      <c r="X183" s="322"/>
    </row>
    <row r="184" ht="12.75">
      <c r="X184" s="27"/>
    </row>
    <row r="185" ht="12.75">
      <c r="X185" s="317"/>
    </row>
    <row r="186" ht="13.5" thickBot="1">
      <c r="X186" s="318"/>
    </row>
    <row r="187" ht="12.75">
      <c r="X187" s="28"/>
    </row>
    <row r="188" ht="12.75">
      <c r="X188" s="321"/>
    </row>
    <row r="189" ht="13.5" thickBot="1">
      <c r="X189" s="322"/>
    </row>
    <row r="190" ht="12.75">
      <c r="X190" s="27"/>
    </row>
    <row r="191" ht="12.75">
      <c r="X191" s="317"/>
    </row>
    <row r="192" ht="13.5" thickBot="1">
      <c r="X192" s="318"/>
    </row>
    <row r="193" ht="12.75">
      <c r="X193" s="28"/>
    </row>
    <row r="194" ht="12.75">
      <c r="X194" s="321"/>
    </row>
    <row r="195" ht="12.75">
      <c r="X195" s="321"/>
    </row>
    <row r="196" ht="13.5" thickBot="1">
      <c r="X196" s="322"/>
    </row>
  </sheetData>
  <mergeCells count="24">
    <mergeCell ref="R2:R5"/>
    <mergeCell ref="R6:R10"/>
    <mergeCell ref="R11:R14"/>
    <mergeCell ref="R15:R19"/>
    <mergeCell ref="E160:E164"/>
    <mergeCell ref="E148:E151"/>
    <mergeCell ref="R20:R22"/>
    <mergeCell ref="R23:R27"/>
    <mergeCell ref="E139:E143"/>
    <mergeCell ref="E144:E147"/>
    <mergeCell ref="E152:E156"/>
    <mergeCell ref="E157:E159"/>
    <mergeCell ref="X194:X196"/>
    <mergeCell ref="X188:X189"/>
    <mergeCell ref="X191:X192"/>
    <mergeCell ref="X182:X183"/>
    <mergeCell ref="X185:X186"/>
    <mergeCell ref="X179:X180"/>
    <mergeCell ref="AC38:AD38"/>
    <mergeCell ref="AC2:AD2"/>
    <mergeCell ref="AC9:AD9"/>
    <mergeCell ref="AC17:AD17"/>
    <mergeCell ref="AC24:AD24"/>
    <mergeCell ref="AC32:AD3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Lafarge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mazlabo2</dc:creator>
  <cp:keywords/>
  <dc:description/>
  <cp:lastModifiedBy>mazlabo2</cp:lastModifiedBy>
  <dcterms:created xsi:type="dcterms:W3CDTF">2010-02-22T13:45:31Z</dcterms:created>
  <dcterms:modified xsi:type="dcterms:W3CDTF">2010-03-03T18:18:45Z</dcterms:modified>
  <cp:category/>
  <cp:version/>
  <cp:contentType/>
  <cp:contentStatus/>
</cp:coreProperties>
</file>